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17520" windowHeight="9135"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solutions'!$A$1:$L$45</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F22" l="1"/>
  <c r="F23" s="1"/>
  <c r="E17"/>
  <c r="G17" s="1"/>
  <c r="E18"/>
  <c r="E19"/>
  <c r="G19" s="1"/>
  <c r="E16"/>
  <c r="G16" s="1"/>
  <c r="E13"/>
  <c r="G13" s="1"/>
  <c r="G23"/>
  <c r="F19"/>
  <c r="F16"/>
  <c r="E12"/>
  <c r="E11"/>
  <c r="E5"/>
  <c r="G5" s="1"/>
  <c r="E6"/>
  <c r="G6" s="1"/>
  <c r="E7"/>
  <c r="G7" s="1"/>
  <c r="E8"/>
  <c r="G8" s="1"/>
  <c r="F5"/>
  <c r="F6"/>
  <c r="F7"/>
  <c r="F8"/>
  <c r="E4"/>
  <c r="E34" i="10"/>
  <c r="G34" s="1"/>
  <c r="E33"/>
  <c r="G33" s="1"/>
  <c r="E29" i="4"/>
  <c r="E28"/>
  <c r="E25"/>
  <c r="E24"/>
  <c r="E21"/>
  <c r="E20"/>
  <c r="E17"/>
  <c r="E16"/>
  <c r="E15"/>
  <c r="F17" i="11" l="1"/>
  <c r="F12"/>
  <c r="G12"/>
  <c r="F13"/>
  <c r="F18"/>
  <c r="G18"/>
  <c r="G20" s="1"/>
  <c r="F4"/>
  <c r="F9" s="1"/>
  <c r="G4"/>
  <c r="F11"/>
  <c r="F14" s="1"/>
  <c r="G11"/>
  <c r="G35" i="10"/>
  <c r="F33"/>
  <c r="F34"/>
  <c r="F20" i="11"/>
  <c r="G9"/>
  <c r="E12" i="4"/>
  <c r="E11"/>
  <c r="G11" s="1"/>
  <c r="E10"/>
  <c r="E9"/>
  <c r="G9" s="1"/>
  <c r="G29"/>
  <c r="F29"/>
  <c r="G28"/>
  <c r="F28"/>
  <c r="G25"/>
  <c r="F25"/>
  <c r="G24"/>
  <c r="G26" s="1"/>
  <c r="F24"/>
  <c r="G21"/>
  <c r="F21"/>
  <c r="G20"/>
  <c r="F20"/>
  <c r="G17"/>
  <c r="F17"/>
  <c r="G16"/>
  <c r="F16"/>
  <c r="G15"/>
  <c r="F15"/>
  <c r="G12"/>
  <c r="F12"/>
  <c r="G10"/>
  <c r="F10"/>
  <c r="E6"/>
  <c r="G6" s="1"/>
  <c r="E5"/>
  <c r="G5" s="1"/>
  <c r="E4"/>
  <c r="G4" s="1"/>
  <c r="F4"/>
  <c r="E39" i="8"/>
  <c r="F39" s="1"/>
  <c r="E40"/>
  <c r="F40" s="1"/>
  <c r="E41"/>
  <c r="F41" s="1"/>
  <c r="E42"/>
  <c r="F42" s="1"/>
  <c r="E35"/>
  <c r="E34"/>
  <c r="F34" s="1"/>
  <c r="E36"/>
  <c r="F36" s="1"/>
  <c r="E33"/>
  <c r="E32"/>
  <c r="F35"/>
  <c r="F33"/>
  <c r="F32"/>
  <c r="E29"/>
  <c r="F29" s="1"/>
  <c r="E28"/>
  <c r="F28" s="1"/>
  <c r="E27"/>
  <c r="F27" s="1"/>
  <c r="E24"/>
  <c r="E23"/>
  <c r="E22"/>
  <c r="E19"/>
  <c r="G19" s="1"/>
  <c r="E20"/>
  <c r="E21"/>
  <c r="G21" s="1"/>
  <c r="E18"/>
  <c r="E17"/>
  <c r="F24"/>
  <c r="G42"/>
  <c r="G41"/>
  <c r="G40"/>
  <c r="G39"/>
  <c r="G35"/>
  <c r="G34"/>
  <c r="G33"/>
  <c r="G32"/>
  <c r="G29"/>
  <c r="G28"/>
  <c r="G27"/>
  <c r="G24"/>
  <c r="G23"/>
  <c r="G22"/>
  <c r="G20"/>
  <c r="G18"/>
  <c r="G17"/>
  <c r="F23"/>
  <c r="F22"/>
  <c r="F21"/>
  <c r="F20"/>
  <c r="F19"/>
  <c r="F18"/>
  <c r="F17"/>
  <c r="E13"/>
  <c r="G13" s="1"/>
  <c r="E12"/>
  <c r="G12" s="1"/>
  <c r="E11"/>
  <c r="G11" s="1"/>
  <c r="E9"/>
  <c r="G9" s="1"/>
  <c r="E14"/>
  <c r="G14" s="1"/>
  <c r="E10"/>
  <c r="G10" s="1"/>
  <c r="F14"/>
  <c r="F12"/>
  <c r="F11"/>
  <c r="F9"/>
  <c r="F13" l="1"/>
  <c r="F15" s="1"/>
  <c r="G36"/>
  <c r="F30" i="4"/>
  <c r="F10" i="8"/>
  <c r="G14" i="11"/>
  <c r="F24"/>
  <c r="F26" i="4"/>
  <c r="F22"/>
  <c r="G30" i="8"/>
  <c r="F11" i="4"/>
  <c r="F5"/>
  <c r="G13"/>
  <c r="F9"/>
  <c r="G24" i="11"/>
  <c r="J28" i="1" s="1"/>
  <c r="G7" i="4"/>
  <c r="F6"/>
  <c r="G30"/>
  <c r="G22"/>
  <c r="G18"/>
  <c r="F18"/>
  <c r="G15" i="8"/>
  <c r="G43"/>
  <c r="G37"/>
  <c r="F37"/>
  <c r="F30"/>
  <c r="G25"/>
  <c r="F25"/>
  <c r="F13" i="4" l="1"/>
  <c r="G31"/>
  <c r="J26" i="1" s="1"/>
  <c r="F7" i="4"/>
  <c r="E30" i="10"/>
  <c r="G30" s="1"/>
  <c r="E29"/>
  <c r="G29" s="1"/>
  <c r="E28"/>
  <c r="G28" s="1"/>
  <c r="F30"/>
  <c r="E25"/>
  <c r="G25" s="1"/>
  <c r="E24"/>
  <c r="G24" s="1"/>
  <c r="E21"/>
  <c r="E20"/>
  <c r="G20" s="1"/>
  <c r="E19"/>
  <c r="G19" s="1"/>
  <c r="E18"/>
  <c r="G18" s="1"/>
  <c r="E17"/>
  <c r="G17" s="1"/>
  <c r="E14"/>
  <c r="G14" s="1"/>
  <c r="E13"/>
  <c r="G13" s="1"/>
  <c r="E12"/>
  <c r="G12" s="1"/>
  <c r="E11"/>
  <c r="G11" s="1"/>
  <c r="F28" l="1"/>
  <c r="F21"/>
  <c r="G21"/>
  <c r="G22" s="1"/>
  <c r="F17"/>
  <c r="F29"/>
  <c r="F19"/>
  <c r="F25"/>
  <c r="G26"/>
  <c r="G15"/>
  <c r="F11"/>
  <c r="F18"/>
  <c r="F20"/>
  <c r="F24"/>
  <c r="G31"/>
  <c r="F31" l="1"/>
  <c r="F26"/>
  <c r="F22"/>
  <c r="E8"/>
  <c r="G8" s="1"/>
  <c r="E7"/>
  <c r="G7" s="1"/>
  <c r="E6"/>
  <c r="G6" s="1"/>
  <c r="E5"/>
  <c r="G5" s="1"/>
  <c r="E4"/>
  <c r="G4" s="1"/>
  <c r="F8"/>
  <c r="F6" l="1"/>
  <c r="F7"/>
  <c r="F4"/>
  <c r="E9"/>
  <c r="F5"/>
  <c r="G9"/>
  <c r="F14"/>
  <c r="F13"/>
  <c r="F12"/>
  <c r="E6" i="8"/>
  <c r="G6" s="1"/>
  <c r="E5"/>
  <c r="G5" s="1"/>
  <c r="E4"/>
  <c r="G4" s="1"/>
  <c r="F9" i="10" l="1"/>
  <c r="F35"/>
  <c r="G7" i="8"/>
  <c r="F15" i="10"/>
  <c r="F5" i="8"/>
  <c r="F6"/>
  <c r="F4"/>
  <c r="F7" l="1"/>
  <c r="F43" l="1"/>
  <c r="G44" l="1"/>
  <c r="J25" i="1" s="1"/>
  <c r="F44" i="8"/>
  <c r="J21" i="1"/>
  <c r="F31" i="4" l="1"/>
  <c r="J19" i="1" s="1"/>
  <c r="J18"/>
  <c r="F36" i="10" l="1"/>
  <c r="J20" i="1" s="1"/>
  <c r="J16" s="1"/>
  <c r="G36" i="10" l="1"/>
  <c r="J27" i="1" s="1"/>
  <c r="J23" s="1"/>
</calcChain>
</file>

<file path=xl/comments1.xml><?xml version="1.0" encoding="utf-8"?>
<comments xmlns="http://schemas.openxmlformats.org/spreadsheetml/2006/main">
  <authors>
    <author>Author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<sst xmlns="http://schemas.openxmlformats.org/spreadsheetml/2006/main" count="526" uniqueCount="247">
  <si>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</si>
  <si>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</si>
  <si>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</si>
  <si>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</si>
  <si>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</si>
  <si>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</si>
  <si>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</si>
  <si>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</si>
  <si>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</si>
  <si>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</si>
  <si>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</si>
  <si>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</si>
  <si>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</si>
  <si>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</si>
  <si>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</si>
  <si>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</si>
  <si>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</si>
  <si>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</si>
  <si>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</si>
  <si>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</si>
  <si>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</si>
  <si>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</si>
  <si>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</si>
  <si>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</si>
  <si>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</si>
  <si>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</si>
  <si>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</si>
  <si>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</si>
  <si>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</si>
  <si>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</si>
  <si>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</si>
  <si>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</si>
  <si>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</si>
  <si>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</si>
  <si>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</si>
  <si>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</si>
  <si>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</si>
  <si>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</si>
  <si>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</si>
  <si>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</si>
  <si>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</si>
  <si>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</si>
  <si>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</si>
  <si>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</si>
  <si>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</si>
  <si>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</si>
  <si>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</si>
  <si>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</si>
  <si>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</si>
  <si>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</si>
  <si>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</si>
  <si>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</si>
  <si>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</si>
  <si>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</si>
  <si>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</si>
  <si>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</si>
  <si>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</si>
  <si>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</si>
  <si>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</si>
  <si>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</si>
  <si>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</si>
  <si>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</si>
  <si>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</si>
  <si>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</si>
  <si>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</si>
  <si>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</si>
  <si>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</si>
  <si>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</si>
  <si>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</si>
  <si>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</si>
  <si>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</si>
  <si>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</si>
  <si>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</si>
  <si>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</si>
  <si>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</si>
  <si>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</si>
  <si>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</si>
  <si>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</si>
  <si>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</si>
  <si>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</si>
  <si>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</si>
  <si>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</si>
  <si>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</si>
  <si>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</si>
  <si>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</si>
  <si>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</si>
  <si>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</si>
  <si>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</si>
  <si>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</si>
  <si>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</si>
  <si>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</si>
  <si>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</si>
  <si>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</si>
  <si>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</si>
  <si>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</si>
  <si>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</si>
  <si>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</si>
  <si>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</si>
  <si>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</si>
  <si>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</si>
  <si>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</si>
  <si>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</si>
  <si>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</si>
  <si>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</si>
  <si>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</si>
  <si>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</si>
  <si>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</si>
  <si>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</si>
  <si>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</si>
  <si>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</si>
  <si>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</si>
  <si>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</si>
  <si>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</si>
  <si>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</si>
  <si>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</si>
  <si>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</si>
  <si>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</si>
  <si>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</si>
  <si>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</si>
  <si>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</si>
  <si>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</si>
  <si>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</si>
  <si>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</si>
  <si>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</si>
  <si>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</si>
  <si>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</si>
  <si>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</si>
  <si>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</si>
  <si>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</si>
  <si>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</si>
  <si>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</si>
  <si>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</si>
  <si>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</si>
  <si>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</si>
  <si>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</si>
  <si>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</si>
  <si>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</si>
  <si>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</si>
  <si>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</si>
  <si>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</si>
  <si>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</si>
  <si>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</si>
  <si>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</si>
  <si>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</si>
  <si>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</si>
  <si>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</si>
  <si>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</si>
  <si>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</si>
  <si>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</si>
  <si>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</si>
  <si>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</si>
  <si>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</si>
  <si>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</si>
  <si>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</si>
  <si>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</si>
  <si>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</si>
  <si>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</si>
  <si>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</si>
  <si>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</si>
  <si>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</si>
  <si>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</si>
  <si>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</si>
  <si>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</si>
  <si>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r>
      <t>Indicate how this criterion is met in your case - refer to evidence and provide argumentation 
(</t>
    </r>
    <r>
      <rPr>
        <b/>
        <sz val="11"/>
        <color rgb="FF0070C0"/>
        <rFont val="Calibri"/>
        <family val="2"/>
        <scheme val="minor"/>
      </rPr>
      <t>Column filled in by case authors</t>
    </r>
    <r>
      <rPr>
        <b/>
        <sz val="11"/>
        <rFont val="Calibri"/>
        <family val="2"/>
        <charset val="186"/>
        <scheme val="minor"/>
      </rPr>
      <t>)</t>
    </r>
    <r>
      <rPr>
        <b/>
        <sz val="11"/>
        <color rgb="FF0070C0"/>
        <rFont val="Calibri"/>
        <family val="2"/>
        <scheme val="minor"/>
      </rPr>
      <t xml:space="preserve"> 
for public use</t>
    </r>
    <r>
      <rPr>
        <b/>
        <sz val="11"/>
        <color theme="1"/>
        <rFont val="Calibri"/>
        <family val="2"/>
        <charset val="186"/>
        <scheme val="minor"/>
      </rPr>
      <t>)</t>
    </r>
  </si>
  <si>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</si>
  <si>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</si>
  <si>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</si>
  <si>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</si>
  <si>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</si>
  <si>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</si>
  <si>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</si>
  <si>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</si>
  <si>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</si>
  <si>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</si>
  <si>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</si>
  <si>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</si>
  <si>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</si>
  <si>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</si>
  <si>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</si>
  <si>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</si>
  <si>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</si>
  <si>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</si>
  <si>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</si>
  <si>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</si>
  <si>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</si>
  <si>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</si>
  <si>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</si>
  <si>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</si>
  <si>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</si>
  <si>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</si>
  <si>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</si>
  <si>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</si>
  <si>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</si>
  <si>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</si>
  <si>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</si>
  <si>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</si>
  <si>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</si>
  <si>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</si>
  <si>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</si>
  <si>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</si>
  <si>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</si>
  <si>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t>Variety of learning methods were used in curriculum. Participants were able to try all of them, they could work individually or in groups. They could choose active or pasiive learning method.</t>
  </si>
  <si>
    <t>OER is used in curriculum, and learners are encouraged to use it. Also Creating Common Licencing is enabled in curriculum.</t>
  </si>
  <si>
    <t>Navigation and external links are clear, provided in same style. External resourses opens in new window.</t>
  </si>
  <si>
    <t>Reading material are published in browser, it realized by SCORM package - standard VLE tool. Some material, such as PDFs can be downloaded for off-line reading.</t>
  </si>
  <si>
    <t>Curriculum had discussion forums where learners provided their opinion, discuss. Social networks are also embeded in curriculum. Each participant has his own Moodle account and have access to curriculum. Group mode is also available in Moodle VLE, but in our case we did not use it.</t>
  </si>
  <si>
    <t>Standard Moodle VLE assessment tools were used in this curriculum. Feedback is always provided to curriculum learner by Moodle VLE system.</t>
  </si>
  <si>
    <t>Glossary is not implemented in this curriculum as learners already familiar with this topic.</t>
  </si>
  <si>
    <t>Online meetings was planned, but learners contacted us by email and did not asked for video conference. This curriculum is short (10 hours) so it does not need recordered lectures. All theoretical part provided as slides and working examples.</t>
  </si>
  <si>
    <t>As mentioned before the curriculum was designed in very clear and structured way. Material provided by chapters and learners can track their work. Latest VLE and SCORM versions were used in the curriculum. Content was created and very well formated with rich-text editor, most imporant places, assignments were highlighted.</t>
  </si>
  <si>
    <t>Curriculum was translated by professionals and cross-cheked for logical, grammar mistakes. Material  provided in very clear way, as a book with chapters. This was realized by SCORM packages. Sound and video was not used in this curriculum.</t>
  </si>
  <si>
    <t>All learners were informed about pre-requisites before registering to this curriculum in curriculum description page. As it was not needed any special technical tools/equipment we did no write technical pre-requisites. It needs only computer with internet. Before designing curriculum questionnaires were prepared for target groups to find out their needs. As our target group were teachers the curriculum workload was planned to give enought time to finish curriculum. We gave more 3 months, learners were able to choose when to study.</t>
  </si>
  <si>
    <t>Curriculum material legalized by Creative Commons Licencing. We did not use any illegal material. We are authors of all material provided in our curriculum. Learners can use, re-use, adopt material of curriculum for their needs. Information about licencing is provided in curriculum and whole VLE system.</t>
  </si>
  <si>
    <t>The curriculum content is presented in SCORM packages with chapters in the left side and content in the right side. Learners always see how many chapters they have read. Material is organized in following way - at first learner study theoretical part, after this he/she has to implement practical assingments. The curriculum is based on individual learning.</t>
  </si>
  <si>
    <t>There is forum where learners can discuss, ask questions. We can provide links to additional resouses there.</t>
  </si>
  <si>
    <t>As learners were registered to Moodle VLE by curriculum authors most learners did not updated their profiles. Course teachers presented them self by providing CV also we have participated in number of conferences, seminars where we invided teachers to our training course, so many learners already knew us. Disucussion forums were created and was very active. Synchronous communation was planned, but learned did not ask for it, so it was not organized. Teachers email was provided in the curriculum and asynchronous communication was very active.</t>
  </si>
  <si>
    <t>Pedagogical and technical help information with tutor's and technical staff email adresses were provided in the curriculum. Organization of curriculum was clearly stated in course description, which was also provided in curriculum.</t>
  </si>
  <si>
    <t>The shedule of meetings/consultations were not considered because curriculum was designed for self-learning. Tutors were only providing support by email. The schedule of assignments were provided by standard VLE assingment tools. Enough time was provided for all assingments. Learners choose how long time they will need for each assingment.</t>
  </si>
  <si>
    <t>Feedback was created by Google Forms and provided in the curriculum.</t>
  </si>
  <si>
    <t>Assignment descriptions are provided to learners in very clear form. Under every asignment there is description what learner should do. Tools for implementation is provided. Evaluation criteria is provided in curriculum description. Learners informed about shedule and deadlines for assignments.</t>
  </si>
  <si>
    <t>The curriculum is designed  to help teachers creating well structured and quality course for their students. So all assingments are related with professional activities at schools and universities. All assignments are practical, for example, they have to create a course, add various material, assingnments, tests, etc.</t>
  </si>
  <si>
    <t xml:space="preserve">Assessment strategy is clearly presented, learners know how many asignments will be in curriculum, what they will have to do, what are grading methods, assignment grade weights, etc. Various self-assessment tools are used, such as quizes, questions in forums, etc. After finishing curriculum leaners have to fill feedback form. Assignments are evaluated individually, by different strategies/methods. </t>
  </si>
  <si>
    <r>
      <t>Comments and measures for improvement 
(</t>
    </r>
    <r>
      <rPr>
        <b/>
        <sz val="11"/>
        <color rgb="FF0070C0"/>
        <rFont val="Calibri"/>
        <family val="2"/>
        <scheme val="minor"/>
      </rPr>
      <t>Column filled in by case authors</t>
    </r>
    <r>
      <rPr>
        <b/>
        <sz val="11"/>
        <color rgb="FF0070C0"/>
        <rFont val="Calibri"/>
        <family val="2"/>
        <scheme val="minor"/>
      </rPr>
      <t>, for public/confidential use</t>
    </r>
    <r>
      <rPr>
        <b/>
        <sz val="11"/>
        <rFont val="Calibri"/>
        <family val="2"/>
        <charset val="186"/>
        <scheme val="minor"/>
      </rPr>
      <t>)</t>
    </r>
  </si>
  <si>
    <t>The following learning objects were presented to learners:
• Describe curriculum didactical designing process.
• Identify distance learning and teaching curriculum quality assurance criteria.
• Select and design Moodle structure appropriate for the curriculum designing in Moodle.
• Select appropriate web 2.0 tools and social media to be integrated into Moodle virtual learning environment.
www.olarex.eu/moodle</t>
  </si>
  <si>
    <t>Case title</t>
  </si>
  <si>
    <t xml:space="preserve">Quality criteria were developed by </t>
  </si>
  <si>
    <t>Airina Volungevičienė, Estela Daukšienė, Margarita Poškutė, Dalia Baziukė</t>
  </si>
  <si>
    <t>Institutions, 
affiliation</t>
  </si>
  <si>
    <t>Vytautas Magnus University, Revive VET project consortium</t>
  </si>
  <si>
    <t>DESIGNING CURRICULUM FOR MOODLE VIRTUAL LEARNING ENVIRONMENT</t>
  </si>
  <si>
    <t>Peer Reviewer's opinion on the Level of Implementation</t>
  </si>
  <si>
    <t>Peer Reviewer's opinion on the 
Level of Implementation</t>
  </si>
  <si>
    <t>Definition of competences an dlearing objectives meets all three subcriteria and are measurable.</t>
  </si>
  <si>
    <t xml:space="preserve">Peer reviewer agrees with some assessment results. For example, there is a variety of learning methods existing and it is the key characteristic of the curriculum, however, there are three tasks (assignments) available for the learners. They are clearly described and they are designed either for individual planning or for group work in their nature, therefore, it can be stated that they can be for both types, but then the description should be updated or different tasks should be designed for either way of learning. </t>
  </si>
  <si>
    <t xml:space="preserve">Assessment criteria are not clear enough. There is a clear assessment strategy, but criteria weight should be introduced to the learnesr, as well. Slef-assessment can be improved with suggested metacognitive tools. Assessment strategies exist, but they are not various. </t>
  </si>
  <si>
    <t xml:space="preserve">Learners are not directly asked nor encouraged to use OER. </t>
  </si>
  <si>
    <t xml:space="preserve">Assessment criteria exist, but their weight should be clearly identified and communicated to the learnesr. Otherwise, when the course is for self-learing, they might be missing, but self-assessment strategy should be improved. </t>
  </si>
  <si>
    <t xml:space="preserve">Agreed. </t>
  </si>
  <si>
    <t>General navigation is not clear enough and can be improved while accessing the course curriculum. Inside curriculum, navigation is clear. Some design elements could be improved, overall course design can be improved, as well</t>
  </si>
  <si>
    <t xml:space="preserve">agreed </t>
  </si>
  <si>
    <t xml:space="preserve">Group mode learing is partially implemented. </t>
  </si>
  <si>
    <t>agreed</t>
  </si>
  <si>
    <t xml:space="preserve">Media should be revised in the curriculum and more benefits of multimedia content and social networking should be used in curriculum. </t>
  </si>
  <si>
    <t>agree</t>
  </si>
  <si>
    <t>The course curriculum should invite all participants for broader possibilities of collaboration and communication. Online interaction tools should be used for better reasons in task and assignment implementation. This should be embedded in the tasks.</t>
  </si>
  <si>
    <t>Donatas Bačinskas, Vytautas Magnus University</t>
  </si>
  <si>
    <t>Case authors</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</si>
</sst>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9" fontId="27" fillId="0" borderId="0" applyFont="0" applyFill="0" applyBorder="0" applyAlignment="0" applyProtection="0"/>
  </cellStyleXfs>
  <cellXfs count="147">
    <xf numFmtId="0" fontId="0" fillId="0" borderId="0" xfId="0"/>
    <xf numFmtId="0" fontId="0" fillId="0" borderId="2" xfId="0" applyBorder="1"/>
    <xf numFmtId="0" fontId="0" fillId="0" borderId="3"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5" fillId="0" borderId="0" xfId="0" applyFont="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1"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2"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3" xfId="0" applyFont="1" applyBorder="1" applyAlignment="1">
      <alignment horizontal="left" vertical="top"/>
    </xf>
    <xf numFmtId="1" fontId="10" fillId="0" borderId="14" xfId="0" applyNumberFormat="1" applyFont="1" applyBorder="1" applyAlignment="1">
      <alignment horizontal="center" vertical="top"/>
    </xf>
    <xf numFmtId="0" fontId="10" fillId="0" borderId="14" xfId="0" applyFont="1" applyBorder="1" applyAlignment="1">
      <alignment horizontal="left" vertical="top"/>
    </xf>
    <xf numFmtId="10" fontId="13" fillId="0" borderId="11"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5" xfId="0" applyBorder="1" applyAlignment="1">
      <alignment horizontal="left" vertical="top"/>
    </xf>
    <xf numFmtId="9" fontId="13" fillId="0" borderId="11"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3"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6"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3"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4" xfId="0" applyNumberFormat="1" applyFont="1" applyBorder="1" applyAlignment="1">
      <alignment horizontal="left" vertical="top"/>
    </xf>
    <xf numFmtId="0" fontId="23" fillId="0" borderId="14"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4" borderId="1" xfId="0" applyFill="1" applyBorder="1" applyAlignment="1">
      <alignment horizontal="center" vertical="center"/>
    </xf>
    <xf numFmtId="0" fontId="1" fillId="4" borderId="1"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0" fillId="0" borderId="0" xfId="0" applyBorder="1" applyAlignment="1">
      <alignment horizontal="center" wrapText="1"/>
    </xf>
    <xf numFmtId="0" fontId="0" fillId="4" borderId="1" xfId="0" applyFill="1" applyBorder="1" applyAlignment="1">
      <alignment horizontal="center" wrapText="1"/>
    </xf>
    <xf numFmtId="0" fontId="1" fillId="4" borderId="25" xfId="0" applyFont="1" applyFill="1" applyBorder="1" applyAlignment="1">
      <alignment horizontal="center" wrapText="1"/>
    </xf>
    <xf numFmtId="0" fontId="1" fillId="4" borderId="8" xfId="0" applyFont="1" applyFill="1" applyBorder="1" applyAlignment="1">
      <alignment horizontal="center" wrapText="1"/>
    </xf>
    <xf numFmtId="0" fontId="1" fillId="3" borderId="1" xfId="0" applyFont="1" applyFill="1" applyBorder="1" applyAlignment="1" applyProtection="1">
      <alignment horizontal="center" vertical="center" wrapText="1"/>
      <protection locked="0"/>
    </xf>
    <xf numFmtId="0" fontId="13" fillId="4" borderId="26"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3" borderId="1" xfId="0" applyFont="1" applyFill="1" applyBorder="1" applyAlignment="1" applyProtection="1">
      <alignment horizontal="center" vertical="center"/>
      <protection locked="0"/>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0" fillId="0" borderId="1" xfId="0" applyBorder="1" applyAlignment="1" applyProtection="1">
      <alignment horizontal="center" vertical="top" wrapText="1"/>
      <protection locked="0"/>
    </xf>
    <xf numFmtId="0" fontId="30" fillId="0" borderId="19" xfId="0" applyFont="1" applyBorder="1" applyAlignment="1" applyProtection="1">
      <alignment horizontal="left" vertical="top" wrapText="1"/>
      <protection locked="0"/>
    </xf>
    <xf numFmtId="0" fontId="30" fillId="0" borderId="20" xfId="0" applyFont="1" applyBorder="1" applyAlignment="1" applyProtection="1">
      <alignment horizontal="left" vertical="top" wrapText="1"/>
      <protection locked="0"/>
    </xf>
    <xf numFmtId="0" fontId="30" fillId="0" borderId="12" xfId="0" applyFont="1" applyBorder="1" applyAlignment="1" applyProtection="1">
      <alignment horizontal="left" vertical="top" wrapText="1"/>
      <protection locked="0"/>
    </xf>
    <xf numFmtId="0" fontId="30" fillId="0" borderId="1" xfId="0" applyFont="1" applyBorder="1" applyAlignment="1" applyProtection="1">
      <alignment horizontal="center" vertical="top" wrapText="1"/>
      <protection locked="0"/>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13" fillId="0" borderId="15" xfId="0" applyFont="1" applyBorder="1" applyAlignment="1">
      <alignment horizontal="right" vertical="top"/>
    </xf>
    <xf numFmtId="0" fontId="17" fillId="0" borderId="0" xfId="0" applyFont="1" applyAlignment="1">
      <alignment horizontal="right" vertical="top"/>
    </xf>
    <xf numFmtId="0" fontId="0" fillId="0" borderId="21"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106891</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38750" y="7486650"/>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5" name="Picture 4" descr="eu-flag.png"/>
        <xdr:cNvPicPr>
          <a:picLocks noChangeAspect="1"/>
        </xdr:cNvPicPr>
      </xdr:nvPicPr>
      <xdr:blipFill>
        <a:blip xmlns:r="http://schemas.openxmlformats.org/officeDocument/2006/relationships" r:embed="rId3" cstate="print"/>
        <a:srcRect t="22656" r="87190" b="16406"/>
        <a:stretch>
          <a:fillRect/>
        </a:stretch>
      </xdr:blipFill>
      <xdr:spPr>
        <a:xfrm>
          <a:off x="15240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R28"/>
  <sheetViews>
    <sheetView tabSelected="1" zoomScaleNormal="100" workbookViewId="0">
      <selection activeCell="A23" sqref="A23:XFD28"/>
    </sheetView>
  </sheetViews>
  <sheetFormatPr defaultRowHeight="1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42578125" customWidth="1"/>
  </cols>
  <sheetData>
    <row r="1" spans="2:18" ht="59.25" customHeight="1" thickBot="1">
      <c r="C1" s="103" t="s">
        <v>155</v>
      </c>
      <c r="D1" s="103"/>
      <c r="E1" s="103"/>
      <c r="F1" s="103"/>
      <c r="G1" s="103"/>
      <c r="H1" s="103"/>
      <c r="I1" s="103"/>
      <c r="J1" s="103"/>
      <c r="K1" s="103"/>
    </row>
    <row r="2" spans="2:18" s="22" customFormat="1" ht="21.75" customHeight="1">
      <c r="B2" s="105" t="s">
        <v>189</v>
      </c>
      <c r="C2" s="106"/>
      <c r="D2" s="106"/>
      <c r="E2" s="106"/>
      <c r="F2" s="106"/>
      <c r="G2" s="106"/>
      <c r="H2" s="106"/>
      <c r="I2" s="106"/>
      <c r="J2" s="106"/>
      <c r="K2" s="106"/>
      <c r="L2"/>
      <c r="M2"/>
      <c r="N2"/>
      <c r="O2"/>
      <c r="P2"/>
      <c r="Q2"/>
      <c r="R2"/>
    </row>
    <row r="3" spans="2:18" s="22" customFormat="1" ht="32.25" customHeight="1">
      <c r="B3" s="102" t="s">
        <v>224</v>
      </c>
      <c r="C3" s="101"/>
      <c r="D3" s="101"/>
      <c r="E3" s="107" t="s">
        <v>229</v>
      </c>
      <c r="F3" s="107"/>
      <c r="G3" s="107"/>
      <c r="H3" s="107"/>
      <c r="I3" s="107"/>
      <c r="J3" s="107"/>
      <c r="K3" s="107"/>
      <c r="L3"/>
      <c r="M3"/>
      <c r="N3"/>
      <c r="O3"/>
      <c r="P3"/>
      <c r="Q3"/>
      <c r="R3"/>
    </row>
    <row r="4" spans="2:18" s="22" customFormat="1" ht="32.25" customHeight="1">
      <c r="B4" s="102" t="s">
        <v>246</v>
      </c>
      <c r="C4" s="101"/>
      <c r="D4" s="101"/>
      <c r="E4" s="107" t="s">
        <v>245</v>
      </c>
      <c r="F4" s="110"/>
      <c r="G4" s="110"/>
      <c r="H4" s="110"/>
      <c r="I4" s="110"/>
      <c r="J4" s="110"/>
      <c r="K4" s="110"/>
      <c r="L4"/>
      <c r="M4"/>
      <c r="N4"/>
      <c r="O4"/>
      <c r="P4"/>
      <c r="Q4"/>
      <c r="R4"/>
    </row>
    <row r="5" spans="2:18" s="22" customFormat="1" ht="32.25" customHeight="1">
      <c r="B5" s="102" t="s">
        <v>225</v>
      </c>
      <c r="C5" s="101"/>
      <c r="D5" s="101"/>
      <c r="E5" s="101" t="s">
        <v>226</v>
      </c>
      <c r="F5" s="101"/>
      <c r="G5" s="101"/>
      <c r="H5" s="101"/>
      <c r="I5" s="101"/>
      <c r="J5" s="101"/>
      <c r="K5" s="101"/>
      <c r="L5"/>
      <c r="M5"/>
      <c r="N5"/>
      <c r="O5"/>
      <c r="P5"/>
      <c r="Q5"/>
      <c r="R5"/>
    </row>
    <row r="6" spans="2:18" s="22" customFormat="1" ht="32.25" customHeight="1">
      <c r="B6" s="102" t="s">
        <v>227</v>
      </c>
      <c r="C6" s="101"/>
      <c r="D6" s="101"/>
      <c r="E6" s="101" t="s">
        <v>228</v>
      </c>
      <c r="F6" s="101"/>
      <c r="G6" s="101"/>
      <c r="H6" s="101"/>
      <c r="I6" s="101"/>
      <c r="J6" s="101"/>
      <c r="K6" s="101"/>
      <c r="L6"/>
      <c r="M6"/>
      <c r="N6"/>
      <c r="O6"/>
      <c r="P6"/>
      <c r="Q6"/>
      <c r="R6"/>
    </row>
    <row r="7" spans="2:18" s="22" customFormat="1" ht="32.25" customHeight="1">
      <c r="B7" s="108" t="s">
        <v>153</v>
      </c>
      <c r="C7" s="109"/>
      <c r="D7" s="109"/>
      <c r="E7" s="104" t="s">
        <v>154</v>
      </c>
      <c r="F7" s="104"/>
      <c r="G7" s="104"/>
      <c r="H7" s="104"/>
      <c r="I7" s="104"/>
      <c r="J7" s="104"/>
      <c r="K7" s="100"/>
      <c r="L7"/>
      <c r="M7"/>
      <c r="N7"/>
      <c r="O7"/>
      <c r="P7"/>
      <c r="Q7"/>
      <c r="R7"/>
    </row>
    <row r="8" spans="2:18" ht="48.75" customHeight="1" thickBot="1">
      <c r="B8" s="117" t="s">
        <v>151</v>
      </c>
      <c r="C8" s="118"/>
      <c r="D8" s="118"/>
      <c r="E8" s="118"/>
      <c r="F8" s="118"/>
      <c r="G8" s="118"/>
      <c r="H8" s="118"/>
      <c r="I8" s="118"/>
      <c r="J8" s="118"/>
      <c r="K8" s="119"/>
    </row>
    <row r="9" spans="2:18" ht="7.5" customHeight="1">
      <c r="B9" s="5"/>
      <c r="C9" s="5"/>
      <c r="D9" s="6"/>
      <c r="E9" s="6"/>
      <c r="F9" s="6"/>
      <c r="G9" s="6"/>
      <c r="H9" s="6"/>
      <c r="I9" s="6"/>
      <c r="J9" s="6"/>
      <c r="K9" s="4"/>
    </row>
    <row r="10" spans="2:18" ht="33" customHeight="1">
      <c r="B10" s="111" t="s">
        <v>0</v>
      </c>
      <c r="C10" s="112"/>
      <c r="D10" s="113"/>
      <c r="E10" s="120" t="s">
        <v>15</v>
      </c>
      <c r="F10" s="121"/>
      <c r="G10" s="121"/>
      <c r="H10" s="121"/>
      <c r="I10" s="121"/>
      <c r="J10" s="121"/>
      <c r="K10" s="122"/>
    </row>
    <row r="11" spans="2:18" ht="7.5" customHeight="1">
      <c r="B11" s="21"/>
      <c r="C11" s="21"/>
      <c r="D11" s="21"/>
      <c r="E11" s="5"/>
      <c r="F11" s="4"/>
      <c r="G11" s="4"/>
      <c r="H11" s="4"/>
      <c r="I11" s="4"/>
      <c r="J11" s="4"/>
      <c r="K11" s="4"/>
    </row>
    <row r="12" spans="2:18" ht="153" customHeight="1">
      <c r="B12" s="111" t="s">
        <v>1</v>
      </c>
      <c r="C12" s="112"/>
      <c r="D12" s="113"/>
      <c r="E12" s="123" t="s">
        <v>152</v>
      </c>
      <c r="F12" s="124"/>
      <c r="G12" s="124"/>
      <c r="H12" s="124"/>
      <c r="I12" s="124"/>
      <c r="J12" s="124"/>
      <c r="K12" s="125"/>
    </row>
    <row r="13" spans="2:18" ht="7.5" customHeight="1">
      <c r="B13" s="23"/>
      <c r="C13" s="23"/>
      <c r="D13" s="23"/>
      <c r="E13" s="4"/>
      <c r="F13" s="4"/>
      <c r="G13" s="4"/>
      <c r="H13" s="4"/>
      <c r="I13" s="4"/>
      <c r="J13" s="4"/>
      <c r="K13" s="4"/>
    </row>
    <row r="14" spans="2:18" ht="74.25" customHeight="1">
      <c r="B14" s="111" t="s">
        <v>190</v>
      </c>
      <c r="C14" s="112"/>
      <c r="D14" s="113"/>
      <c r="E14" s="114" t="s">
        <v>141</v>
      </c>
      <c r="F14" s="115"/>
      <c r="G14" s="115"/>
      <c r="H14" s="115"/>
      <c r="I14" s="115"/>
      <c r="J14" s="115"/>
      <c r="K14" s="116"/>
    </row>
    <row r="15" spans="2:18" ht="15.75" customHeight="1" thickBot="1">
      <c r="J15" s="1"/>
    </row>
    <row r="16" spans="2:18" ht="16.5" thickTop="1" thickBot="1">
      <c r="B16" s="3" t="s">
        <v>2</v>
      </c>
      <c r="I16" s="2"/>
      <c r="J16" s="25">
        <f>SUM(J18:J21)</f>
        <v>0.83900000000000008</v>
      </c>
    </row>
    <row r="17" spans="2:13" s="7" customFormat="1" ht="11.25" customHeight="1" thickTop="1" thickBot="1">
      <c r="B17" s="28"/>
      <c r="C17" s="29"/>
      <c r="D17" s="29"/>
      <c r="M17" s="20"/>
    </row>
    <row r="18" spans="2:13" ht="16.5" thickTop="1" thickBot="1">
      <c r="B18" t="s">
        <v>41</v>
      </c>
      <c r="I18" s="2"/>
      <c r="J18" s="26">
        <f>'A - Didactical solutions'!F44</f>
        <v>0.28000000000000003</v>
      </c>
      <c r="K18" s="24" t="s">
        <v>96</v>
      </c>
    </row>
    <row r="19" spans="2:13" ht="16.5" thickTop="1" thickBot="1">
      <c r="B19" t="s">
        <v>13</v>
      </c>
      <c r="I19" s="2"/>
      <c r="J19" s="27">
        <f>'B - Information technologies'!F31</f>
        <v>0.224</v>
      </c>
      <c r="K19" s="24" t="s">
        <v>96</v>
      </c>
    </row>
    <row r="20" spans="2:13" ht="16.5" thickTop="1" thickBot="1">
      <c r="B20" t="s">
        <v>14</v>
      </c>
      <c r="I20" s="2"/>
      <c r="J20" s="27">
        <f>'C - Structure and design'!F36</f>
        <v>0.16800000000000001</v>
      </c>
      <c r="K20" s="24" t="s">
        <v>97</v>
      </c>
    </row>
    <row r="21" spans="2:13" ht="16.5" thickTop="1" thickBot="1">
      <c r="B21" t="s">
        <v>42</v>
      </c>
      <c r="I21" s="2"/>
      <c r="J21" s="27">
        <f>'D - Learning organization'!F24</f>
        <v>0.16700000000000001</v>
      </c>
      <c r="K21" s="24" t="s">
        <v>97</v>
      </c>
    </row>
    <row r="22" spans="2:13" ht="15.75" thickTop="1"/>
    <row r="23" spans="2:13" ht="16.5" hidden="1" thickTop="1" thickBot="1">
      <c r="B23" s="3" t="s">
        <v>157</v>
      </c>
      <c r="J23" s="48">
        <f>SUM(J25:J28)</f>
        <v>0.80449999999999999</v>
      </c>
    </row>
    <row r="24" spans="2:13" ht="8.25" hidden="1" customHeight="1" thickTop="1" thickBot="1"/>
    <row r="25" spans="2:13" ht="16.5" hidden="1" thickTop="1" thickBot="1">
      <c r="B25" t="s">
        <v>41</v>
      </c>
      <c r="I25" s="2"/>
      <c r="J25" s="26">
        <f>'A - Didactical solutions'!G44</f>
        <v>0.25666666666666671</v>
      </c>
      <c r="K25" s="24" t="s">
        <v>96</v>
      </c>
    </row>
    <row r="26" spans="2:13" ht="16.5" hidden="1" thickTop="1" thickBot="1">
      <c r="B26" t="s">
        <v>13</v>
      </c>
      <c r="I26" s="2"/>
      <c r="J26" s="27">
        <f>'B - Information technologies'!G31</f>
        <v>0.22550000000000001</v>
      </c>
      <c r="K26" s="24" t="s">
        <v>96</v>
      </c>
    </row>
    <row r="27" spans="2:13" ht="16.5" hidden="1" thickTop="1" thickBot="1">
      <c r="B27" t="s">
        <v>14</v>
      </c>
      <c r="I27" s="2"/>
      <c r="J27" s="27">
        <f>'C - Structure and design'!G36</f>
        <v>0.16266666666666665</v>
      </c>
      <c r="K27" s="24" t="s">
        <v>97</v>
      </c>
    </row>
    <row r="28" spans="2:13" ht="16.5" hidden="1" thickTop="1" thickBot="1">
      <c r="B28" t="s">
        <v>42</v>
      </c>
      <c r="I28" s="2"/>
      <c r="J28" s="27">
        <f>'D - Learning organization'!G24</f>
        <v>0.15966666666666668</v>
      </c>
      <c r="K28" s="24" t="s">
        <v>97</v>
      </c>
    </row>
  </sheetData>
  <sheetProtection password="C7FA" sheet="1" objects="1" scenarios="1"/>
  <mergeCells count="19">
    <mergeCell ref="B14:D14"/>
    <mergeCell ref="E14:K14"/>
    <mergeCell ref="B8:K8"/>
    <mergeCell ref="B10:D10"/>
    <mergeCell ref="E10:K10"/>
    <mergeCell ref="B12:D12"/>
    <mergeCell ref="E12:K12"/>
    <mergeCell ref="E5:K5"/>
    <mergeCell ref="B6:D6"/>
    <mergeCell ref="E6:K6"/>
    <mergeCell ref="C1:K1"/>
    <mergeCell ref="E7:J7"/>
    <mergeCell ref="B2:K2"/>
    <mergeCell ref="B3:D3"/>
    <mergeCell ref="E3:K3"/>
    <mergeCell ref="B4:D4"/>
    <mergeCell ref="B7:D7"/>
    <mergeCell ref="E4:K4"/>
    <mergeCell ref="B5:D5"/>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zoomScaleNormal="100" workbookViewId="0">
      <selection activeCell="L1" sqref="L1:L1048576"/>
    </sheetView>
  </sheetViews>
  <sheetFormatPr defaultColWidth="34.5703125" defaultRowHeight="15"/>
  <cols>
    <col min="1" max="1" width="3.140625" style="9" customWidth="1"/>
    <col min="2" max="2" width="37.42578125" style="8" customWidth="1"/>
    <col min="3" max="3" width="17.7109375" style="9" customWidth="1"/>
    <col min="4" max="4" width="15.5703125" style="9" hidden="1" customWidth="1"/>
    <col min="5" max="5" width="2.5703125" style="10" hidden="1" customWidth="1"/>
    <col min="6" max="6" width="7.28515625" style="9" customWidth="1"/>
    <col min="7" max="7" width="7.5703125" style="9" hidden="1" customWidth="1"/>
    <col min="8" max="8" width="3" style="9" customWidth="1"/>
    <col min="9" max="9" width="3.5703125" style="9" customWidth="1"/>
    <col min="10" max="10" width="40.7109375" style="9" customWidth="1"/>
    <col min="11" max="11" width="22.7109375" style="9" customWidth="1"/>
    <col min="12" max="12" width="37.85546875" style="9" hidden="1" customWidth="1"/>
    <col min="13" max="13" width="3" style="9" customWidth="1"/>
    <col min="14" max="14" width="34.5703125" style="9" hidden="1" customWidth="1"/>
    <col min="15" max="16384" width="34.5703125" style="9"/>
  </cols>
  <sheetData>
    <row r="1" spans="1:14" s="17" customFormat="1">
      <c r="A1" s="30" t="s">
        <v>100</v>
      </c>
      <c r="B1" s="16"/>
      <c r="E1" s="18"/>
    </row>
    <row r="2" spans="1:14" ht="90" customHeight="1">
      <c r="A2" s="59" t="s">
        <v>75</v>
      </c>
      <c r="B2" s="60" t="s">
        <v>161</v>
      </c>
      <c r="C2" s="61" t="s">
        <v>118</v>
      </c>
      <c r="D2" s="62" t="s">
        <v>230</v>
      </c>
      <c r="E2" s="63" t="s">
        <v>9</v>
      </c>
      <c r="F2" s="63" t="s">
        <v>12</v>
      </c>
      <c r="G2" s="64" t="s">
        <v>156</v>
      </c>
      <c r="H2" s="65"/>
      <c r="I2" s="65"/>
      <c r="J2" s="66" t="s">
        <v>119</v>
      </c>
      <c r="K2" s="67" t="s">
        <v>171</v>
      </c>
      <c r="L2" s="64" t="s">
        <v>176</v>
      </c>
    </row>
    <row r="3" spans="1:14" ht="30">
      <c r="A3" s="58" t="s">
        <v>3</v>
      </c>
      <c r="B3" s="79" t="s">
        <v>36</v>
      </c>
      <c r="C3" s="65"/>
      <c r="D3" s="65"/>
      <c r="E3" s="80"/>
      <c r="F3" s="80"/>
      <c r="G3" s="80"/>
      <c r="I3" s="9" t="s">
        <v>3</v>
      </c>
      <c r="J3" s="127" t="s">
        <v>223</v>
      </c>
      <c r="K3" s="130"/>
      <c r="L3" s="130" t="s">
        <v>232</v>
      </c>
      <c r="N3" s="51" t="s">
        <v>121</v>
      </c>
    </row>
    <row r="4" spans="1:14" s="31" customFormat="1" ht="48" customHeight="1">
      <c r="A4" s="36">
        <v>1</v>
      </c>
      <c r="B4" s="37" t="s">
        <v>43</v>
      </c>
      <c r="C4" s="95" t="s">
        <v>124</v>
      </c>
      <c r="D4" s="95" t="s">
        <v>124</v>
      </c>
      <c r="E4" s="32">
        <f>1.5/100</f>
        <v>1.4999999999999999E-2</v>
      </c>
      <c r="F4" s="52">
        <f>IF(C4="0 - not considered at all",0*$E4,IF(C4="1 -  planned, not implemented",1*$E4/3,IF(C4="2 - partially implemented",2*$E4/3,$E4)))</f>
        <v>1.4999999999999999E-2</v>
      </c>
      <c r="G4" s="53">
        <f>IF(D4="0 - not considered at all",0*$E4,IF(D4="1 -  planned, not implemented",1*$E4/3,IF(D4="2 - partially implemented",2*$E4/3,$E4)))</f>
        <v>1.4999999999999999E-2</v>
      </c>
      <c r="J4" s="128"/>
      <c r="K4" s="130"/>
      <c r="L4" s="130"/>
      <c r="N4" s="51" t="s">
        <v>122</v>
      </c>
    </row>
    <row r="5" spans="1:14" s="31" customFormat="1" ht="42" customHeight="1">
      <c r="A5" s="36">
        <v>2</v>
      </c>
      <c r="B5" s="37" t="s">
        <v>45</v>
      </c>
      <c r="C5" s="95" t="s">
        <v>124</v>
      </c>
      <c r="D5" s="95" t="s">
        <v>124</v>
      </c>
      <c r="E5" s="32">
        <f>1.5/100</f>
        <v>1.4999999999999999E-2</v>
      </c>
      <c r="F5" s="52">
        <f t="shared" ref="F5:F6" si="0">IF(C5="0 - not considered at all",0*$E5,IF(C5="1 -  planned, not implemented",1*$E5/3,IF(C5="2 - partially implemented",2*$E5/3,$E5)))</f>
        <v>1.4999999999999999E-2</v>
      </c>
      <c r="G5" s="53">
        <f>IF(D5="0 - not considered at all",0*$E5,IF(D5="1 -  planned, not implemented",1*$E5/3,IF(D5="2 - partially implemented",2*$E5/3,$E5)))</f>
        <v>1.4999999999999999E-2</v>
      </c>
      <c r="J5" s="128"/>
      <c r="K5" s="130"/>
      <c r="L5" s="130"/>
      <c r="N5" s="51" t="s">
        <v>123</v>
      </c>
    </row>
    <row r="6" spans="1:14" s="31" customFormat="1" ht="77.25" customHeight="1">
      <c r="A6" s="36">
        <v>3</v>
      </c>
      <c r="B6" s="38" t="s">
        <v>66</v>
      </c>
      <c r="C6" s="95" t="s">
        <v>124</v>
      </c>
      <c r="D6" s="95" t="s">
        <v>124</v>
      </c>
      <c r="E6" s="32">
        <f>2/100</f>
        <v>0.02</v>
      </c>
      <c r="F6" s="52">
        <f t="shared" si="0"/>
        <v>0.02</v>
      </c>
      <c r="G6" s="53">
        <f>IF(D6="0 - not considered at all",0*$E6,IF(D6="1 -  planned, not implemented",1*$E6/3,IF(D6="2 - partially implemented",2*$E6/3,$E6)))</f>
        <v>0.02</v>
      </c>
      <c r="J6" s="129"/>
      <c r="K6" s="130"/>
      <c r="L6" s="130"/>
      <c r="N6" s="51" t="s">
        <v>124</v>
      </c>
    </row>
    <row r="7" spans="1:14" ht="17.25" customHeight="1">
      <c r="A7" s="35" t="s">
        <v>8</v>
      </c>
      <c r="B7" s="12"/>
      <c r="C7" s="133" t="s">
        <v>164</v>
      </c>
      <c r="D7" s="134"/>
      <c r="E7" s="135"/>
      <c r="F7" s="19">
        <f>SUM(F4:F6)</f>
        <v>0.05</v>
      </c>
      <c r="G7" s="19">
        <f>SUM(G4:G6)</f>
        <v>0.05</v>
      </c>
      <c r="H7" s="70" t="s">
        <v>192</v>
      </c>
      <c r="I7" s="69"/>
      <c r="J7" s="81"/>
      <c r="K7" s="81"/>
      <c r="L7" s="82"/>
    </row>
    <row r="8" spans="1:14">
      <c r="A8" s="34" t="s">
        <v>4</v>
      </c>
      <c r="B8" s="85" t="s">
        <v>10</v>
      </c>
      <c r="C8" s="65"/>
      <c r="D8" s="83"/>
      <c r="E8" s="92"/>
      <c r="F8" s="80"/>
      <c r="G8" s="80"/>
      <c r="I8" s="9" t="s">
        <v>4</v>
      </c>
      <c r="J8" s="136" t="s">
        <v>201</v>
      </c>
      <c r="K8" s="126"/>
      <c r="L8" s="126" t="s">
        <v>233</v>
      </c>
    </row>
    <row r="9" spans="1:14" ht="38.25">
      <c r="A9" s="35">
        <v>1</v>
      </c>
      <c r="B9" s="37" t="s">
        <v>162</v>
      </c>
      <c r="C9" s="95" t="s">
        <v>124</v>
      </c>
      <c r="D9" s="95" t="s">
        <v>124</v>
      </c>
      <c r="E9" s="32">
        <f>2*0.5/100</f>
        <v>0.01</v>
      </c>
      <c r="F9" s="52">
        <f t="shared" ref="F9:F14" si="1">IF(C9="0 - not considered at all",0*$E9,IF(C9="1 -  planned, not implemented",1*$E9/3,IF(C9="2 - partially implemented",2*$E9/3,$E9)))</f>
        <v>0.01</v>
      </c>
      <c r="G9" s="53">
        <f t="shared" ref="G9:G14" si="2">IF(D9="0 - not considered at all",0*$E9,IF(D9="1 -  planned, not implemented",1*$E9/3,IF(D9="2 - partially implemented",2*$E9/3,$E9)))</f>
        <v>0.01</v>
      </c>
      <c r="J9" s="137"/>
      <c r="K9" s="126"/>
      <c r="L9" s="126"/>
    </row>
    <row r="10" spans="1:14" ht="25.5">
      <c r="A10" s="35">
        <v>2</v>
      </c>
      <c r="B10" s="37" t="s">
        <v>46</v>
      </c>
      <c r="C10" s="95" t="s">
        <v>124</v>
      </c>
      <c r="D10" s="95" t="s">
        <v>124</v>
      </c>
      <c r="E10" s="32">
        <f>0.5/100</f>
        <v>5.0000000000000001E-3</v>
      </c>
      <c r="F10" s="52">
        <f t="shared" si="1"/>
        <v>5.0000000000000001E-3</v>
      </c>
      <c r="G10" s="53">
        <f t="shared" si="2"/>
        <v>5.0000000000000001E-3</v>
      </c>
      <c r="J10" s="137"/>
      <c r="K10" s="126"/>
      <c r="L10" s="126"/>
    </row>
    <row r="11" spans="1:14" ht="25.5">
      <c r="A11" s="35">
        <v>3</v>
      </c>
      <c r="B11" s="38" t="s">
        <v>47</v>
      </c>
      <c r="C11" s="95" t="s">
        <v>124</v>
      </c>
      <c r="D11" s="95" t="s">
        <v>123</v>
      </c>
      <c r="E11" s="32">
        <f t="shared" ref="E11:E13" si="3">2*0.5/100</f>
        <v>0.01</v>
      </c>
      <c r="F11" s="52">
        <f t="shared" si="1"/>
        <v>0.01</v>
      </c>
      <c r="G11" s="53">
        <f t="shared" si="2"/>
        <v>6.6666666666666671E-3</v>
      </c>
      <c r="J11" s="137"/>
      <c r="K11" s="126"/>
      <c r="L11" s="126"/>
    </row>
    <row r="12" spans="1:14" ht="25.5">
      <c r="A12" s="35">
        <v>4</v>
      </c>
      <c r="B12" s="38" t="s">
        <v>48</v>
      </c>
      <c r="C12" s="95" t="s">
        <v>124</v>
      </c>
      <c r="D12" s="95" t="s">
        <v>123</v>
      </c>
      <c r="E12" s="32">
        <f t="shared" si="3"/>
        <v>0.01</v>
      </c>
      <c r="F12" s="52">
        <f t="shared" si="1"/>
        <v>0.01</v>
      </c>
      <c r="G12" s="53">
        <f t="shared" si="2"/>
        <v>6.6666666666666671E-3</v>
      </c>
      <c r="J12" s="137"/>
      <c r="K12" s="126"/>
      <c r="L12" s="126"/>
    </row>
    <row r="13" spans="1:14" ht="25.5">
      <c r="A13" s="35">
        <v>5</v>
      </c>
      <c r="B13" s="38" t="s">
        <v>50</v>
      </c>
      <c r="C13" s="95" t="s">
        <v>124</v>
      </c>
      <c r="D13" s="95" t="s">
        <v>124</v>
      </c>
      <c r="E13" s="32">
        <f t="shared" si="3"/>
        <v>0.01</v>
      </c>
      <c r="F13" s="52">
        <f t="shared" si="1"/>
        <v>0.01</v>
      </c>
      <c r="G13" s="53">
        <f t="shared" si="2"/>
        <v>0.01</v>
      </c>
      <c r="J13" s="137"/>
      <c r="K13" s="126"/>
      <c r="L13" s="126"/>
    </row>
    <row r="14" spans="1:14" ht="38.25">
      <c r="A14" s="35">
        <v>6</v>
      </c>
      <c r="B14" s="38" t="s">
        <v>49</v>
      </c>
      <c r="C14" s="95" t="s">
        <v>124</v>
      </c>
      <c r="D14" s="95" t="s">
        <v>122</v>
      </c>
      <c r="E14" s="32">
        <f>0.5/100</f>
        <v>5.0000000000000001E-3</v>
      </c>
      <c r="F14" s="52">
        <f t="shared" si="1"/>
        <v>5.0000000000000001E-3</v>
      </c>
      <c r="G14" s="53">
        <f t="shared" si="2"/>
        <v>1.6666666666666668E-3</v>
      </c>
      <c r="J14" s="138"/>
      <c r="K14" s="126"/>
      <c r="L14" s="126"/>
    </row>
    <row r="15" spans="1:14">
      <c r="A15" s="35" t="s">
        <v>8</v>
      </c>
      <c r="B15" s="12"/>
      <c r="C15" s="133" t="s">
        <v>165</v>
      </c>
      <c r="D15" s="134"/>
      <c r="E15" s="135"/>
      <c r="F15" s="19">
        <f>SUM(F9:F14)</f>
        <v>0.05</v>
      </c>
      <c r="G15" s="19">
        <f>SUM(G9:G14)</f>
        <v>0.04</v>
      </c>
      <c r="H15" s="70" t="s">
        <v>192</v>
      </c>
      <c r="I15" s="69"/>
      <c r="J15" s="81"/>
      <c r="K15" s="99"/>
      <c r="L15" s="99"/>
    </row>
    <row r="16" spans="1:14" ht="30" customHeight="1">
      <c r="A16" s="34" t="s">
        <v>5</v>
      </c>
      <c r="B16" s="85" t="s">
        <v>37</v>
      </c>
      <c r="C16" s="65"/>
      <c r="D16" s="65"/>
      <c r="E16" s="80"/>
      <c r="F16" s="80"/>
      <c r="G16" s="80"/>
      <c r="I16" s="9" t="s">
        <v>5</v>
      </c>
      <c r="J16" s="136" t="s">
        <v>221</v>
      </c>
      <c r="K16" s="126"/>
      <c r="L16" s="126" t="s">
        <v>234</v>
      </c>
    </row>
    <row r="17" spans="1:12" ht="30" customHeight="1">
      <c r="A17" s="35">
        <v>1</v>
      </c>
      <c r="B17" s="37" t="s">
        <v>53</v>
      </c>
      <c r="C17" s="95" t="s">
        <v>124</v>
      </c>
      <c r="D17" s="95" t="s">
        <v>123</v>
      </c>
      <c r="E17" s="32">
        <f>0.2*0.05</f>
        <v>1.0000000000000002E-2</v>
      </c>
      <c r="F17" s="52">
        <f t="shared" ref="F17:G24" si="4">IF(C17="0 - not considered at all",0*$E17,IF(C17="1 -  planned, not implemented",1*$E17/3,IF(C17="2 - partially implemented",2*$E17/3,$E17)))</f>
        <v>1.0000000000000002E-2</v>
      </c>
      <c r="G17" s="53">
        <f t="shared" si="4"/>
        <v>6.666666666666668E-3</v>
      </c>
      <c r="J17" s="137"/>
      <c r="K17" s="126"/>
      <c r="L17" s="126"/>
    </row>
    <row r="18" spans="1:12" ht="38.25">
      <c r="A18" s="35">
        <v>2</v>
      </c>
      <c r="B18" s="37" t="s">
        <v>54</v>
      </c>
      <c r="C18" s="95" t="s">
        <v>124</v>
      </c>
      <c r="D18" s="95" t="s">
        <v>123</v>
      </c>
      <c r="E18" s="32">
        <f>0.1*0.05</f>
        <v>5.000000000000001E-3</v>
      </c>
      <c r="F18" s="52">
        <f t="shared" si="4"/>
        <v>5.000000000000001E-3</v>
      </c>
      <c r="G18" s="53">
        <f t="shared" si="4"/>
        <v>3.333333333333334E-3</v>
      </c>
      <c r="J18" s="137"/>
      <c r="K18" s="126"/>
      <c r="L18" s="126"/>
    </row>
    <row r="19" spans="1:12" ht="25.5">
      <c r="A19" s="35">
        <v>3</v>
      </c>
      <c r="B19" s="37" t="s">
        <v>55</v>
      </c>
      <c r="C19" s="95" t="s">
        <v>124</v>
      </c>
      <c r="D19" s="95" t="s">
        <v>124</v>
      </c>
      <c r="E19" s="32">
        <f t="shared" ref="E19:E24" si="5">0.1*0.05</f>
        <v>5.000000000000001E-3</v>
      </c>
      <c r="F19" s="52">
        <f t="shared" si="4"/>
        <v>5.000000000000001E-3</v>
      </c>
      <c r="G19" s="53">
        <f t="shared" si="4"/>
        <v>5.000000000000001E-3</v>
      </c>
      <c r="J19" s="137"/>
      <c r="K19" s="126"/>
      <c r="L19" s="126"/>
    </row>
    <row r="20" spans="1:12" ht="25.5">
      <c r="A20" s="35">
        <v>4</v>
      </c>
      <c r="B20" s="37" t="s">
        <v>56</v>
      </c>
      <c r="C20" s="95" t="s">
        <v>124</v>
      </c>
      <c r="D20" s="95" t="s">
        <v>124</v>
      </c>
      <c r="E20" s="32">
        <f t="shared" si="5"/>
        <v>5.000000000000001E-3</v>
      </c>
      <c r="F20" s="52">
        <f t="shared" si="4"/>
        <v>5.000000000000001E-3</v>
      </c>
      <c r="G20" s="53">
        <f t="shared" si="4"/>
        <v>5.000000000000001E-3</v>
      </c>
      <c r="J20" s="137"/>
      <c r="K20" s="126"/>
      <c r="L20" s="126"/>
    </row>
    <row r="21" spans="1:12" ht="25.5">
      <c r="A21" s="35">
        <v>5</v>
      </c>
      <c r="B21" s="37" t="s">
        <v>57</v>
      </c>
      <c r="C21" s="95" t="s">
        <v>124</v>
      </c>
      <c r="D21" s="95" t="s">
        <v>123</v>
      </c>
      <c r="E21" s="32">
        <f t="shared" si="5"/>
        <v>5.000000000000001E-3</v>
      </c>
      <c r="F21" s="52">
        <f t="shared" si="4"/>
        <v>5.000000000000001E-3</v>
      </c>
      <c r="G21" s="53">
        <f t="shared" si="4"/>
        <v>3.333333333333334E-3</v>
      </c>
      <c r="J21" s="137"/>
      <c r="K21" s="126"/>
      <c r="L21" s="126"/>
    </row>
    <row r="22" spans="1:12" ht="25.5">
      <c r="A22" s="35">
        <v>6</v>
      </c>
      <c r="B22" s="37" t="s">
        <v>58</v>
      </c>
      <c r="C22" s="95" t="s">
        <v>124</v>
      </c>
      <c r="D22" s="95" t="s">
        <v>124</v>
      </c>
      <c r="E22" s="32">
        <f>0.2*0.05</f>
        <v>1.0000000000000002E-2</v>
      </c>
      <c r="F22" s="52">
        <f t="shared" si="4"/>
        <v>1.0000000000000002E-2</v>
      </c>
      <c r="G22" s="53">
        <f t="shared" si="4"/>
        <v>1.0000000000000002E-2</v>
      </c>
      <c r="J22" s="137"/>
      <c r="K22" s="126"/>
      <c r="L22" s="126"/>
    </row>
    <row r="23" spans="1:12" ht="38.25">
      <c r="A23" s="35">
        <v>7</v>
      </c>
      <c r="B23" s="37" t="s">
        <v>60</v>
      </c>
      <c r="C23" s="95" t="s">
        <v>121</v>
      </c>
      <c r="D23" s="95" t="s">
        <v>121</v>
      </c>
      <c r="E23" s="32">
        <f t="shared" si="5"/>
        <v>5.000000000000001E-3</v>
      </c>
      <c r="F23" s="52">
        <f t="shared" si="4"/>
        <v>0</v>
      </c>
      <c r="G23" s="53">
        <f t="shared" si="4"/>
        <v>0</v>
      </c>
      <c r="J23" s="137"/>
      <c r="K23" s="126"/>
      <c r="L23" s="126"/>
    </row>
    <row r="24" spans="1:12" ht="29.25" customHeight="1">
      <c r="A24" s="35">
        <v>8</v>
      </c>
      <c r="B24" s="37" t="s">
        <v>59</v>
      </c>
      <c r="C24" s="95" t="s">
        <v>124</v>
      </c>
      <c r="D24" s="95" t="s">
        <v>123</v>
      </c>
      <c r="E24" s="32">
        <f t="shared" si="5"/>
        <v>5.000000000000001E-3</v>
      </c>
      <c r="F24" s="52">
        <f>IF(C24="0 - not considered at all",0*$E24,IF(C24="1 -  planned, not implemented",1*$E24/3,IF(C24="2 - partially implemented",2*$E24/3,$E24)))</f>
        <v>5.000000000000001E-3</v>
      </c>
      <c r="G24" s="53">
        <f t="shared" si="4"/>
        <v>3.333333333333334E-3</v>
      </c>
      <c r="J24" s="138"/>
      <c r="K24" s="126"/>
      <c r="L24" s="126"/>
    </row>
    <row r="25" spans="1:12">
      <c r="A25" s="35" t="s">
        <v>8</v>
      </c>
      <c r="B25" s="12"/>
      <c r="C25" s="133" t="s">
        <v>166</v>
      </c>
      <c r="D25" s="134"/>
      <c r="E25" s="135"/>
      <c r="F25" s="19">
        <f>SUM(F17:F24)</f>
        <v>4.5000000000000012E-2</v>
      </c>
      <c r="G25" s="19">
        <f>SUM(G17:G24)</f>
        <v>3.6666666666666674E-2</v>
      </c>
      <c r="H25" s="70" t="s">
        <v>192</v>
      </c>
      <c r="I25" s="69"/>
      <c r="J25" s="81"/>
      <c r="K25" s="99"/>
      <c r="L25" s="99"/>
    </row>
    <row r="26" spans="1:12" ht="30" customHeight="1">
      <c r="A26" s="34" t="s">
        <v>6</v>
      </c>
      <c r="B26" s="85" t="s">
        <v>38</v>
      </c>
      <c r="C26" s="65"/>
      <c r="D26" s="65"/>
      <c r="E26" s="80"/>
      <c r="F26" s="80"/>
      <c r="G26" s="80"/>
      <c r="I26" s="9" t="s">
        <v>6</v>
      </c>
      <c r="J26" s="136" t="s">
        <v>202</v>
      </c>
      <c r="K26" s="126"/>
      <c r="L26" s="126" t="s">
        <v>235</v>
      </c>
    </row>
    <row r="27" spans="1:12" ht="25.5">
      <c r="A27" s="35">
        <v>1</v>
      </c>
      <c r="B27" s="37" t="s">
        <v>67</v>
      </c>
      <c r="C27" s="95" t="s">
        <v>124</v>
      </c>
      <c r="D27" s="95" t="s">
        <v>124</v>
      </c>
      <c r="E27" s="57">
        <f>0.4*0.05</f>
        <v>2.0000000000000004E-2</v>
      </c>
      <c r="F27" s="52">
        <f>IF(C27="0 - not considered at all",0*$E27,IF(C27="1 -  planned, not implemented",1*$E27/3,IF(C27="2 - partially implemented",2*$E27/3,$E27)))</f>
        <v>2.0000000000000004E-2</v>
      </c>
      <c r="G27" s="53">
        <f t="shared" ref="G27:G29" si="6">IF(D27="0 - not considered at all",0*$E27,IF(D27="1 -  planned, not implemented",1*$E27/3,IF(D27="2 - partially implemented",2*$E27/3,$E27)))</f>
        <v>2.0000000000000004E-2</v>
      </c>
      <c r="J27" s="137"/>
      <c r="K27" s="126"/>
      <c r="L27" s="126"/>
    </row>
    <row r="28" spans="1:12" ht="25.5">
      <c r="A28" s="35">
        <v>2</v>
      </c>
      <c r="B28" s="37" t="s">
        <v>44</v>
      </c>
      <c r="C28" s="95" t="s">
        <v>124</v>
      </c>
      <c r="D28" s="95" t="s">
        <v>123</v>
      </c>
      <c r="E28" s="57">
        <f>0.3*0.05</f>
        <v>1.4999999999999999E-2</v>
      </c>
      <c r="F28" s="52">
        <f t="shared" ref="F28:F29" si="7">IF(C28="0 - not considered at all",0*$E28,IF(C28="1 -  planned, not implemented",1*$E28/3,IF(C28="2 - partially implemented",2*$E28/3,$E28)))</f>
        <v>1.4999999999999999E-2</v>
      </c>
      <c r="G28" s="53">
        <f t="shared" si="6"/>
        <v>0.01</v>
      </c>
      <c r="J28" s="137"/>
      <c r="K28" s="126"/>
      <c r="L28" s="126"/>
    </row>
    <row r="29" spans="1:12" ht="38.25">
      <c r="A29" s="35">
        <v>3</v>
      </c>
      <c r="B29" s="38" t="s">
        <v>61</v>
      </c>
      <c r="C29" s="95" t="s">
        <v>124</v>
      </c>
      <c r="D29" s="95" t="s">
        <v>124</v>
      </c>
      <c r="E29" s="57">
        <f>0.3*0.05</f>
        <v>1.4999999999999999E-2</v>
      </c>
      <c r="F29" s="52">
        <f t="shared" si="7"/>
        <v>1.4999999999999999E-2</v>
      </c>
      <c r="G29" s="53">
        <f t="shared" si="6"/>
        <v>1.4999999999999999E-2</v>
      </c>
      <c r="J29" s="138"/>
      <c r="K29" s="126"/>
      <c r="L29" s="126"/>
    </row>
    <row r="30" spans="1:12">
      <c r="A30" s="35" t="s">
        <v>8</v>
      </c>
      <c r="B30" s="12"/>
      <c r="C30" s="133" t="s">
        <v>167</v>
      </c>
      <c r="D30" s="134"/>
      <c r="E30" s="135"/>
      <c r="F30" s="19">
        <f>SUM(F27:F29)</f>
        <v>0.05</v>
      </c>
      <c r="G30" s="19">
        <f>SUM(G27:G29)</f>
        <v>4.5000000000000005E-2</v>
      </c>
      <c r="H30" s="70" t="s">
        <v>192</v>
      </c>
      <c r="I30" s="69"/>
      <c r="J30" s="81"/>
      <c r="K30" s="99"/>
      <c r="L30" s="99"/>
    </row>
    <row r="31" spans="1:12" ht="32.25" customHeight="1">
      <c r="A31" s="34" t="s">
        <v>7</v>
      </c>
      <c r="B31" s="85" t="s">
        <v>39</v>
      </c>
      <c r="C31" s="65"/>
      <c r="D31" s="65"/>
      <c r="E31" s="80"/>
      <c r="F31" s="80"/>
      <c r="G31" s="80"/>
      <c r="I31" s="9" t="s">
        <v>7</v>
      </c>
      <c r="J31" s="136" t="s">
        <v>219</v>
      </c>
      <c r="K31" s="126"/>
      <c r="L31" s="126" t="s">
        <v>236</v>
      </c>
    </row>
    <row r="32" spans="1:12" ht="38.25">
      <c r="A32" s="35">
        <v>1</v>
      </c>
      <c r="B32" s="37" t="s">
        <v>62</v>
      </c>
      <c r="C32" s="95" t="s">
        <v>124</v>
      </c>
      <c r="D32" s="95" t="s">
        <v>124</v>
      </c>
      <c r="E32" s="32">
        <f>0.2*0.05</f>
        <v>1.0000000000000002E-2</v>
      </c>
      <c r="F32" s="52">
        <f t="shared" ref="F32:F36" si="8">IF(C32="0 - not considered at all",0*$E32,IF(C32="1 -  planned, not implemented",1*$E32/3,IF(C32="2 - partially implemented",2*$E32/3,$E32)))</f>
        <v>1.0000000000000002E-2</v>
      </c>
      <c r="G32" s="53">
        <f t="shared" ref="G32:G36" si="9">IF(D32="0 - not considered at all",0*$E32,IF(D32="1 -  planned, not implemented",1*$E32/3,IF(D32="2 - partially implemented",2*$E32/3,$E32)))</f>
        <v>1.0000000000000002E-2</v>
      </c>
      <c r="J32" s="137"/>
      <c r="K32" s="126"/>
      <c r="L32" s="126"/>
    </row>
    <row r="33" spans="1:12" ht="30" customHeight="1">
      <c r="A33" s="35">
        <v>2</v>
      </c>
      <c r="B33" s="37" t="s">
        <v>98</v>
      </c>
      <c r="C33" s="95" t="s">
        <v>124</v>
      </c>
      <c r="D33" s="95" t="s">
        <v>124</v>
      </c>
      <c r="E33" s="32">
        <f>0.2*0.05</f>
        <v>1.0000000000000002E-2</v>
      </c>
      <c r="F33" s="52">
        <f t="shared" si="8"/>
        <v>1.0000000000000002E-2</v>
      </c>
      <c r="G33" s="53">
        <f t="shared" si="9"/>
        <v>1.0000000000000002E-2</v>
      </c>
      <c r="J33" s="137"/>
      <c r="K33" s="126"/>
      <c r="L33" s="126"/>
    </row>
    <row r="34" spans="1:12" ht="27.75" customHeight="1">
      <c r="A34" s="35">
        <v>3</v>
      </c>
      <c r="B34" s="37" t="s">
        <v>99</v>
      </c>
      <c r="C34" s="95" t="s">
        <v>124</v>
      </c>
      <c r="D34" s="95" t="s">
        <v>124</v>
      </c>
      <c r="E34" s="32">
        <f>0.1*0.05</f>
        <v>5.000000000000001E-3</v>
      </c>
      <c r="F34" s="52">
        <f t="shared" si="8"/>
        <v>5.000000000000001E-3</v>
      </c>
      <c r="G34" s="53">
        <f t="shared" si="9"/>
        <v>5.000000000000001E-3</v>
      </c>
      <c r="J34" s="137"/>
      <c r="K34" s="126"/>
      <c r="L34" s="126"/>
    </row>
    <row r="35" spans="1:12" ht="27.75" customHeight="1">
      <c r="A35" s="35">
        <v>4</v>
      </c>
      <c r="B35" s="37" t="s">
        <v>51</v>
      </c>
      <c r="C35" s="95" t="s">
        <v>123</v>
      </c>
      <c r="D35" s="95" t="s">
        <v>123</v>
      </c>
      <c r="E35" s="32">
        <f>0.3*0.05</f>
        <v>1.4999999999999999E-2</v>
      </c>
      <c r="F35" s="52">
        <f t="shared" si="8"/>
        <v>0.01</v>
      </c>
      <c r="G35" s="53">
        <f t="shared" si="9"/>
        <v>0.01</v>
      </c>
      <c r="J35" s="137"/>
      <c r="K35" s="126"/>
      <c r="L35" s="126"/>
    </row>
    <row r="36" spans="1:12" ht="25.5">
      <c r="A36" s="35">
        <v>5</v>
      </c>
      <c r="B36" s="37" t="s">
        <v>52</v>
      </c>
      <c r="C36" s="95" t="s">
        <v>124</v>
      </c>
      <c r="D36" s="95" t="s">
        <v>124</v>
      </c>
      <c r="E36" s="32">
        <f>0.2*0.05</f>
        <v>1.0000000000000002E-2</v>
      </c>
      <c r="F36" s="52">
        <f t="shared" si="8"/>
        <v>1.0000000000000002E-2</v>
      </c>
      <c r="G36" s="53">
        <f t="shared" si="9"/>
        <v>1.0000000000000002E-2</v>
      </c>
      <c r="J36" s="138"/>
      <c r="K36" s="126"/>
      <c r="L36" s="126"/>
    </row>
    <row r="37" spans="1:12">
      <c r="A37" s="35" t="s">
        <v>8</v>
      </c>
      <c r="B37" s="12"/>
      <c r="C37" s="133" t="s">
        <v>168</v>
      </c>
      <c r="D37" s="134"/>
      <c r="E37" s="135"/>
      <c r="F37" s="19">
        <f>SUM(F32:F36)</f>
        <v>4.5000000000000005E-2</v>
      </c>
      <c r="G37" s="19">
        <f>SUM(G32:G36)</f>
        <v>4.5000000000000005E-2</v>
      </c>
      <c r="H37" s="70" t="s">
        <v>192</v>
      </c>
      <c r="I37" s="69"/>
      <c r="J37" s="81"/>
      <c r="K37" s="99"/>
      <c r="L37" s="99"/>
    </row>
    <row r="38" spans="1:12" ht="26.25" customHeight="1">
      <c r="A38" s="34" t="s">
        <v>40</v>
      </c>
      <c r="B38" s="91" t="s">
        <v>11</v>
      </c>
      <c r="C38" s="65"/>
      <c r="D38" s="65"/>
      <c r="E38" s="80"/>
      <c r="F38" s="80"/>
      <c r="G38" s="80"/>
      <c r="I38" s="9" t="s">
        <v>40</v>
      </c>
      <c r="J38" s="136" t="s">
        <v>220</v>
      </c>
      <c r="K38" s="126"/>
      <c r="L38" s="126" t="s">
        <v>237</v>
      </c>
    </row>
    <row r="39" spans="1:12" ht="38.25">
      <c r="A39" s="35">
        <v>1</v>
      </c>
      <c r="B39" s="37" t="s">
        <v>63</v>
      </c>
      <c r="C39" s="95" t="s">
        <v>124</v>
      </c>
      <c r="D39" s="95" t="s">
        <v>124</v>
      </c>
      <c r="E39" s="32">
        <f>0.3*0.05</f>
        <v>1.4999999999999999E-2</v>
      </c>
      <c r="F39" s="52">
        <f t="shared" ref="F39:F42" si="10">IF(C39="0 - not considered at all",0*$E39,IF(C39="1 -  planned, not implemented",1*$E39/3,IF(C39="2 - partially implemented",2*$E39/3,$E39)))</f>
        <v>1.4999999999999999E-2</v>
      </c>
      <c r="G39" s="53">
        <f t="shared" ref="G39:G42" si="11">IF(D39="0 - not considered at all",0*$E39,IF(D39="1 -  planned, not implemented",1*$E39/3,IF(D39="2 - partially implemented",2*$E39/3,$E39)))</f>
        <v>1.4999999999999999E-2</v>
      </c>
      <c r="J39" s="137"/>
      <c r="K39" s="126"/>
      <c r="L39" s="126"/>
    </row>
    <row r="40" spans="1:12" ht="38.25">
      <c r="A40" s="35">
        <v>2</v>
      </c>
      <c r="B40" s="37" t="s">
        <v>64</v>
      </c>
      <c r="C40" s="95" t="s">
        <v>124</v>
      </c>
      <c r="D40" s="95" t="s">
        <v>124</v>
      </c>
      <c r="E40" s="32">
        <f t="shared" ref="E40:E41" si="12">0.2*0.05</f>
        <v>1.0000000000000002E-2</v>
      </c>
      <c r="F40" s="52">
        <f t="shared" si="10"/>
        <v>1.0000000000000002E-2</v>
      </c>
      <c r="G40" s="53">
        <f t="shared" si="11"/>
        <v>1.0000000000000002E-2</v>
      </c>
      <c r="J40" s="137"/>
      <c r="K40" s="126"/>
      <c r="L40" s="126"/>
    </row>
    <row r="41" spans="1:12" ht="44.25" customHeight="1">
      <c r="A41" s="35">
        <v>3</v>
      </c>
      <c r="B41" s="37" t="s">
        <v>68</v>
      </c>
      <c r="C41" s="95" t="s">
        <v>121</v>
      </c>
      <c r="D41" s="95" t="s">
        <v>121</v>
      </c>
      <c r="E41" s="32">
        <f t="shared" si="12"/>
        <v>1.0000000000000002E-2</v>
      </c>
      <c r="F41" s="52">
        <f t="shared" si="10"/>
        <v>0</v>
      </c>
      <c r="G41" s="53">
        <f t="shared" si="11"/>
        <v>0</v>
      </c>
      <c r="J41" s="137"/>
      <c r="K41" s="126"/>
      <c r="L41" s="126"/>
    </row>
    <row r="42" spans="1:12" ht="63.75">
      <c r="A42" s="35">
        <v>4</v>
      </c>
      <c r="B42" s="37" t="s">
        <v>65</v>
      </c>
      <c r="C42" s="95" t="s">
        <v>124</v>
      </c>
      <c r="D42" s="95" t="s">
        <v>124</v>
      </c>
      <c r="E42" s="32">
        <f>0.3*0.05</f>
        <v>1.4999999999999999E-2</v>
      </c>
      <c r="F42" s="52">
        <f t="shared" si="10"/>
        <v>1.4999999999999999E-2</v>
      </c>
      <c r="G42" s="53">
        <f t="shared" si="11"/>
        <v>1.4999999999999999E-2</v>
      </c>
      <c r="J42" s="138"/>
      <c r="K42" s="126"/>
      <c r="L42" s="126"/>
    </row>
    <row r="43" spans="1:12" ht="15.75" thickBot="1">
      <c r="A43" s="35" t="s">
        <v>8</v>
      </c>
      <c r="B43" s="12"/>
      <c r="C43" s="133" t="s">
        <v>169</v>
      </c>
      <c r="D43" s="134"/>
      <c r="E43" s="135"/>
      <c r="F43" s="19">
        <f>SUM(F39:F42)</f>
        <v>0.04</v>
      </c>
      <c r="G43" s="19">
        <f>SUM(G39:G42)</f>
        <v>0.04</v>
      </c>
      <c r="H43" s="70" t="s">
        <v>192</v>
      </c>
      <c r="I43" s="70"/>
    </row>
    <row r="44" spans="1:12" ht="15.75" thickBot="1">
      <c r="C44" s="139" t="s">
        <v>170</v>
      </c>
      <c r="D44" s="139"/>
      <c r="F44" s="71">
        <f>SUM(F7,F15,F25,F30,F37,F43)</f>
        <v>0.28000000000000003</v>
      </c>
      <c r="G44" s="84">
        <f>SUM(G7,G15,G25,G30,G37,G43)</f>
        <v>0.25666666666666671</v>
      </c>
      <c r="H44" s="33"/>
    </row>
    <row r="45" spans="1:12">
      <c r="C45" s="140" t="s">
        <v>181</v>
      </c>
      <c r="D45" s="140"/>
      <c r="E45" s="42"/>
      <c r="F45" s="50">
        <v>30</v>
      </c>
      <c r="G45" s="43"/>
      <c r="H45" s="15"/>
    </row>
    <row r="47" spans="1:12" customFormat="1" ht="32.25" customHeight="1">
      <c r="A47" s="131" t="s">
        <v>153</v>
      </c>
      <c r="B47" s="131"/>
      <c r="C47" s="45"/>
      <c r="D47" s="132" t="s">
        <v>154</v>
      </c>
      <c r="E47" s="132"/>
      <c r="F47" s="132"/>
      <c r="G47" s="132"/>
      <c r="H47" s="132"/>
      <c r="I47" s="132"/>
      <c r="J47" s="132"/>
      <c r="K47" s="46"/>
      <c r="L47" s="45"/>
    </row>
  </sheetData>
  <sheetProtection password="CE28" sheet="1" objects="1" scenarios="1" formatRows="0"/>
  <mergeCells count="28">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 ref="L26:L29"/>
    <mergeCell ref="L31:L36"/>
    <mergeCell ref="L38:L42"/>
    <mergeCell ref="J3:J6"/>
    <mergeCell ref="K3:K6"/>
    <mergeCell ref="K8:K14"/>
    <mergeCell ref="K16:K24"/>
    <mergeCell ref="L3:L6"/>
    <mergeCell ref="L8:L14"/>
    <mergeCell ref="L16:L24"/>
    <mergeCell ref="K26:K29"/>
    <mergeCell ref="K31:K36"/>
    <mergeCell ref="K38:K42"/>
  </mergeCells>
  <dataValidations count="1">
    <dataValidation type="list" allowBlank="1" showInputMessage="1" showErrorMessage="1" sqref="C39:D42 C4:D6 C9:D14 C17:D24 C27:D29 C32:D36">
      <formula1>$N$3:$N$6</formula1>
    </dataValidation>
  </dataValidations>
  <pageMargins left="0.51181102362204722" right="0.31496062992125984" top="0.57770833333333338" bottom="0.74803149606299213" header="0.31496062992125984" footer="0.31496062992125984"/>
  <pageSetup paperSize="9" scale="94" orientation="landscape" r:id="rId1"/>
  <headerFooter>
    <oddHeader>&amp;COLAREX case page &amp;P</oddHeader>
    <oddFooter>&amp;LCopy right issues&amp;CThis product is released under Creative Common licence  
CC BY-NC-ND 3.0&amp;R&amp;G</oddFooter>
  </headerFooter>
  <rowBreaks count="2" manualBreakCount="2">
    <brk id="15" max="16383" man="1"/>
    <brk id="30" max="16383"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M1" sqref="M1:M1048576"/>
    </sheetView>
  </sheetViews>
  <sheetFormatPr defaultColWidth="34.5703125" defaultRowHeight="15"/>
  <cols>
    <col min="1" max="1" width="4.42578125" style="9" customWidth="1"/>
    <col min="2" max="2" width="35" style="8" customWidth="1"/>
    <col min="3" max="3" width="21.85546875" style="9" customWidth="1"/>
    <col min="4" max="4" width="20.42578125" style="10" hidden="1" customWidth="1"/>
    <col min="5" max="5" width="2.85546875" style="10" hidden="1" customWidth="1"/>
    <col min="6" max="6" width="7.85546875" style="10" customWidth="1"/>
    <col min="7" max="7" width="8.5703125" style="10" hidden="1" customWidth="1"/>
    <col min="8" max="8" width="8.85546875" style="9" customWidth="1"/>
    <col min="9" max="9" width="3.5703125" style="9" customWidth="1"/>
    <col min="10" max="10" width="36.7109375" style="9" customWidth="1"/>
    <col min="11" max="11" width="24.140625" style="9" customWidth="1"/>
    <col min="12" max="12" width="0.42578125" style="9" hidden="1" customWidth="1"/>
    <col min="13" max="13" width="35.42578125" style="9" hidden="1" customWidth="1"/>
    <col min="14" max="14" width="3" style="9" bestFit="1" customWidth="1"/>
    <col min="15" max="16384" width="34.5703125" style="9"/>
  </cols>
  <sheetData>
    <row r="1" spans="1:13" s="17" customFormat="1">
      <c r="A1" s="30" t="s">
        <v>101</v>
      </c>
      <c r="B1" s="16"/>
      <c r="D1" s="18"/>
      <c r="E1" s="18"/>
      <c r="F1" s="18"/>
      <c r="G1" s="18"/>
    </row>
    <row r="2" spans="1:13" ht="73.5" customHeight="1">
      <c r="A2" s="59" t="s">
        <v>75</v>
      </c>
      <c r="B2" s="60" t="s">
        <v>161</v>
      </c>
      <c r="C2" s="61" t="s">
        <v>118</v>
      </c>
      <c r="D2" s="62" t="s">
        <v>231</v>
      </c>
      <c r="E2" s="73" t="s">
        <v>9</v>
      </c>
      <c r="F2" s="73" t="s">
        <v>12</v>
      </c>
      <c r="G2" s="64" t="s">
        <v>156</v>
      </c>
      <c r="H2" s="65"/>
      <c r="I2" s="65"/>
      <c r="J2" s="66" t="s">
        <v>130</v>
      </c>
      <c r="K2" s="67" t="s">
        <v>120</v>
      </c>
      <c r="L2" s="65"/>
      <c r="M2" s="74" t="s">
        <v>176</v>
      </c>
    </row>
    <row r="3" spans="1:13">
      <c r="A3" s="58" t="s">
        <v>16</v>
      </c>
      <c r="B3" s="79" t="s">
        <v>76</v>
      </c>
      <c r="C3" s="65"/>
      <c r="D3" s="80"/>
      <c r="E3" s="80"/>
      <c r="F3" s="80"/>
      <c r="G3" s="80"/>
      <c r="I3" s="9" t="s">
        <v>16</v>
      </c>
      <c r="J3" s="136" t="s">
        <v>203</v>
      </c>
      <c r="K3" s="126"/>
      <c r="L3" s="98"/>
      <c r="M3" s="126" t="s">
        <v>238</v>
      </c>
    </row>
    <row r="4" spans="1:13" ht="27.75" customHeight="1">
      <c r="A4" s="35">
        <v>1</v>
      </c>
      <c r="B4" s="37" t="s">
        <v>102</v>
      </c>
      <c r="C4" s="95" t="s">
        <v>124</v>
      </c>
      <c r="D4" s="95" t="s">
        <v>123</v>
      </c>
      <c r="E4" s="32">
        <f>0.3*0.045</f>
        <v>1.35E-2</v>
      </c>
      <c r="F4" s="52">
        <f>IF(C4="0 - not considered at all",0*$E4,IF(C4="1 -  planned, not implemented",1*$E4/3,IF(C4="2 - partially implemented",2*$E4/3,$E4)))</f>
        <v>1.35E-2</v>
      </c>
      <c r="G4" s="53">
        <f>IF(D4="0 - not considered at all",0*$E4,IF(D4="1 -  planned, not implemented",1*$E4/3,IF(D4="2 - partially implemented",2*$E4/3,$E4)))</f>
        <v>8.9999999999999993E-3</v>
      </c>
      <c r="J4" s="137"/>
      <c r="K4" s="126"/>
      <c r="L4" s="96" t="s">
        <v>121</v>
      </c>
      <c r="M4" s="126"/>
    </row>
    <row r="5" spans="1:13" ht="25.5" customHeight="1">
      <c r="A5" s="35">
        <v>2</v>
      </c>
      <c r="B5" s="37" t="s">
        <v>103</v>
      </c>
      <c r="C5" s="95" t="s">
        <v>124</v>
      </c>
      <c r="D5" s="95" t="s">
        <v>124</v>
      </c>
      <c r="E5" s="32">
        <f>0.5*0.045</f>
        <v>2.2499999999999999E-2</v>
      </c>
      <c r="F5" s="52">
        <f t="shared" ref="F5:F6" si="0">IF(C5="0 - not considered at all",0*$E5,IF(C5="1 -  planned, not implemented",1*$E5/3,IF(C5="2 - partially implemented",2*$E5/3,$E5)))</f>
        <v>2.2499999999999999E-2</v>
      </c>
      <c r="G5" s="53">
        <f t="shared" ref="G5:G6" si="1">IF(D5="0 - not considered at all",0*$E5,IF(D5="1 -  planned, not implemented",1*$E5/3,IF(D5="2 - partially implemented",2*$E5/3,$E5)))</f>
        <v>2.2499999999999999E-2</v>
      </c>
      <c r="J5" s="137"/>
      <c r="K5" s="126"/>
      <c r="L5" s="96" t="s">
        <v>122</v>
      </c>
      <c r="M5" s="126"/>
    </row>
    <row r="6" spans="1:13" ht="26.25" customHeight="1">
      <c r="A6" s="35">
        <v>3</v>
      </c>
      <c r="B6" s="38" t="s">
        <v>104</v>
      </c>
      <c r="C6" s="95" t="s">
        <v>124</v>
      </c>
      <c r="D6" s="95" t="s">
        <v>123</v>
      </c>
      <c r="E6" s="32">
        <f>0.2*0.045</f>
        <v>8.9999999999999993E-3</v>
      </c>
      <c r="F6" s="52">
        <f t="shared" si="0"/>
        <v>8.9999999999999993E-3</v>
      </c>
      <c r="G6" s="53">
        <f t="shared" si="1"/>
        <v>5.9999999999999993E-3</v>
      </c>
      <c r="J6" s="138"/>
      <c r="K6" s="126"/>
      <c r="L6" s="96" t="s">
        <v>123</v>
      </c>
      <c r="M6" s="126"/>
    </row>
    <row r="7" spans="1:13" ht="17.25" customHeight="1">
      <c r="A7" s="35" t="s">
        <v>8</v>
      </c>
      <c r="B7" s="12"/>
      <c r="C7" s="133" t="s">
        <v>172</v>
      </c>
      <c r="D7" s="134"/>
      <c r="E7" s="72"/>
      <c r="F7" s="19">
        <f>SUM(F4:F6)</f>
        <v>4.4999999999999998E-2</v>
      </c>
      <c r="G7" s="19">
        <f>SUM(G4:G6)</f>
        <v>3.7499999999999999E-2</v>
      </c>
      <c r="H7" s="68" t="s">
        <v>193</v>
      </c>
      <c r="I7" s="93"/>
      <c r="J7" s="81"/>
      <c r="K7" s="99"/>
      <c r="L7" s="97" t="s">
        <v>124</v>
      </c>
      <c r="M7" s="99"/>
    </row>
    <row r="8" spans="1:13">
      <c r="A8" s="34" t="s">
        <v>20</v>
      </c>
      <c r="B8" s="85" t="s">
        <v>17</v>
      </c>
      <c r="C8" s="65"/>
      <c r="D8" s="80"/>
      <c r="E8" s="80"/>
      <c r="F8" s="80"/>
      <c r="G8" s="47"/>
      <c r="I8" s="9" t="s">
        <v>20</v>
      </c>
      <c r="J8" s="136" t="s">
        <v>204</v>
      </c>
      <c r="K8" s="126"/>
      <c r="L8" s="98"/>
      <c r="M8" s="126" t="s">
        <v>239</v>
      </c>
    </row>
    <row r="9" spans="1:13" ht="51">
      <c r="A9" s="35">
        <v>1</v>
      </c>
      <c r="B9" s="37" t="s">
        <v>105</v>
      </c>
      <c r="C9" s="95" t="s">
        <v>124</v>
      </c>
      <c r="D9" s="95" t="s">
        <v>124</v>
      </c>
      <c r="E9" s="32">
        <f>0.3*0.075</f>
        <v>2.2499999999999999E-2</v>
      </c>
      <c r="F9" s="52">
        <f t="shared" ref="F9:F12" si="2">IF(C9="0 - not considered at all",0*$E9,IF(C9="1 -  planned, not implemented",1*$E9/3,IF(C9="2 - partially implemented",2*$E9/3,$E9)))</f>
        <v>2.2499999999999999E-2</v>
      </c>
      <c r="G9" s="53">
        <f t="shared" ref="G9:G12" si="3">IF(D9="0 - not considered at all",0*$E9,IF(D9="1 -  planned, not implemented",1*$E9/3,IF(D9="2 - partially implemented",2*$E9/3,$E9)))</f>
        <v>2.2499999999999999E-2</v>
      </c>
      <c r="J9" s="137"/>
      <c r="K9" s="126"/>
      <c r="L9" s="98"/>
      <c r="M9" s="126"/>
    </row>
    <row r="10" spans="1:13" ht="38.25">
      <c r="A10" s="35">
        <v>2</v>
      </c>
      <c r="B10" s="37" t="s">
        <v>106</v>
      </c>
      <c r="C10" s="95" t="s">
        <v>124</v>
      </c>
      <c r="D10" s="95" t="s">
        <v>124</v>
      </c>
      <c r="E10" s="32">
        <f>0.4*0.075</f>
        <v>0.03</v>
      </c>
      <c r="F10" s="52">
        <f t="shared" si="2"/>
        <v>0.03</v>
      </c>
      <c r="G10" s="53">
        <f t="shared" si="3"/>
        <v>0.03</v>
      </c>
      <c r="J10" s="137"/>
      <c r="K10" s="126"/>
      <c r="L10" s="98"/>
      <c r="M10" s="126"/>
    </row>
    <row r="11" spans="1:13" ht="39" customHeight="1">
      <c r="A11" s="35">
        <v>3</v>
      </c>
      <c r="B11" s="38" t="s">
        <v>107</v>
      </c>
      <c r="C11" s="95" t="s">
        <v>124</v>
      </c>
      <c r="D11" s="95" t="s">
        <v>124</v>
      </c>
      <c r="E11" s="32">
        <f>0.2*0.075</f>
        <v>1.4999999999999999E-2</v>
      </c>
      <c r="F11" s="52">
        <f t="shared" si="2"/>
        <v>1.4999999999999999E-2</v>
      </c>
      <c r="G11" s="53">
        <f t="shared" si="3"/>
        <v>1.4999999999999999E-2</v>
      </c>
      <c r="J11" s="137"/>
      <c r="K11" s="126"/>
      <c r="L11" s="98"/>
      <c r="M11" s="126"/>
    </row>
    <row r="12" spans="1:13">
      <c r="A12" s="35">
        <v>4</v>
      </c>
      <c r="B12" s="38" t="s">
        <v>127</v>
      </c>
      <c r="C12" s="95" t="s">
        <v>124</v>
      </c>
      <c r="D12" s="95" t="s">
        <v>124</v>
      </c>
      <c r="E12" s="32">
        <f>0.1*0.075</f>
        <v>7.4999999999999997E-3</v>
      </c>
      <c r="F12" s="52">
        <f t="shared" si="2"/>
        <v>7.4999999999999997E-3</v>
      </c>
      <c r="G12" s="53">
        <f t="shared" si="3"/>
        <v>7.4999999999999997E-3</v>
      </c>
      <c r="J12" s="138"/>
      <c r="K12" s="126"/>
      <c r="L12" s="98"/>
      <c r="M12" s="126"/>
    </row>
    <row r="13" spans="1:13">
      <c r="A13" s="35" t="s">
        <v>8</v>
      </c>
      <c r="B13" s="12"/>
      <c r="C13" s="133" t="s">
        <v>173</v>
      </c>
      <c r="D13" s="134"/>
      <c r="E13" s="72"/>
      <c r="F13" s="19">
        <f>SUM(F9:F12)</f>
        <v>7.5000000000000011E-2</v>
      </c>
      <c r="G13" s="19">
        <f>SUM(G9:G12)</f>
        <v>7.5000000000000011E-2</v>
      </c>
      <c r="H13" s="68" t="s">
        <v>194</v>
      </c>
      <c r="I13" s="93"/>
      <c r="J13" s="81"/>
      <c r="K13" s="99"/>
      <c r="L13" s="99"/>
      <c r="M13" s="99"/>
    </row>
    <row r="14" spans="1:13" ht="30">
      <c r="A14" s="34" t="s">
        <v>21</v>
      </c>
      <c r="B14" s="85" t="s">
        <v>108</v>
      </c>
      <c r="C14" s="65"/>
      <c r="D14" s="80"/>
      <c r="E14" s="80"/>
      <c r="F14" s="80"/>
      <c r="G14" s="47"/>
      <c r="I14" s="9" t="s">
        <v>21</v>
      </c>
      <c r="J14" s="136" t="s">
        <v>205</v>
      </c>
      <c r="K14" s="126"/>
      <c r="L14" s="98"/>
      <c r="M14" s="126" t="s">
        <v>240</v>
      </c>
    </row>
    <row r="15" spans="1:13" ht="42" customHeight="1">
      <c r="A15" s="35">
        <v>1</v>
      </c>
      <c r="B15" s="37" t="s">
        <v>109</v>
      </c>
      <c r="C15" s="95" t="s">
        <v>124</v>
      </c>
      <c r="D15" s="95" t="s">
        <v>124</v>
      </c>
      <c r="E15" s="32">
        <f>0.4*0.06</f>
        <v>2.4E-2</v>
      </c>
      <c r="F15" s="52">
        <f t="shared" ref="F15:F17" si="4">IF(C15="0 - not considered at all",0*$E15,IF(C15="1 -  planned, not implemented",1*$E15/3,IF(C15="2 - partially implemented",2*$E15/3,$E15)))</f>
        <v>2.4E-2</v>
      </c>
      <c r="G15" s="53">
        <f t="shared" ref="G15:G17" si="5">IF(D15="0 - not considered at all",0*$E15,IF(D15="1 -  planned, not implemented",1*$E15/3,IF(D15="2 - partially implemented",2*$E15/3,$E15)))</f>
        <v>2.4E-2</v>
      </c>
      <c r="J15" s="137"/>
      <c r="K15" s="126"/>
      <c r="L15" s="98"/>
      <c r="M15" s="126"/>
    </row>
    <row r="16" spans="1:13" ht="28.5" customHeight="1">
      <c r="A16" s="35">
        <v>2</v>
      </c>
      <c r="B16" s="37" t="s">
        <v>18</v>
      </c>
      <c r="C16" s="95" t="s">
        <v>124</v>
      </c>
      <c r="D16" s="95" t="s">
        <v>124</v>
      </c>
      <c r="E16" s="32">
        <f>0.25*0.06</f>
        <v>1.4999999999999999E-2</v>
      </c>
      <c r="F16" s="52">
        <f t="shared" si="4"/>
        <v>1.4999999999999999E-2</v>
      </c>
      <c r="G16" s="53">
        <f t="shared" si="5"/>
        <v>1.4999999999999999E-2</v>
      </c>
      <c r="J16" s="137"/>
      <c r="K16" s="126"/>
      <c r="L16" s="98"/>
      <c r="M16" s="126"/>
    </row>
    <row r="17" spans="1:13" ht="51">
      <c r="A17" s="35">
        <v>3</v>
      </c>
      <c r="B17" s="37" t="s">
        <v>128</v>
      </c>
      <c r="C17" s="95" t="s">
        <v>121</v>
      </c>
      <c r="D17" s="95" t="s">
        <v>123</v>
      </c>
      <c r="E17" s="32">
        <f>0.35*0.06</f>
        <v>2.0999999999999998E-2</v>
      </c>
      <c r="F17" s="52">
        <f t="shared" si="4"/>
        <v>0</v>
      </c>
      <c r="G17" s="53">
        <f t="shared" si="5"/>
        <v>1.3999999999999999E-2</v>
      </c>
      <c r="J17" s="138"/>
      <c r="K17" s="126"/>
      <c r="L17" s="98"/>
      <c r="M17" s="126"/>
    </row>
    <row r="18" spans="1:13">
      <c r="A18" s="35" t="s">
        <v>8</v>
      </c>
      <c r="B18" s="12"/>
      <c r="C18" s="133" t="s">
        <v>174</v>
      </c>
      <c r="D18" s="134"/>
      <c r="E18" s="72"/>
      <c r="F18" s="19">
        <f>SUM(F15:F17)</f>
        <v>3.9E-2</v>
      </c>
      <c r="G18" s="19">
        <f>SUM(G15:G17)</f>
        <v>5.2999999999999999E-2</v>
      </c>
      <c r="H18" s="68" t="s">
        <v>195</v>
      </c>
      <c r="I18" s="70"/>
      <c r="J18" s="81"/>
      <c r="K18" s="99"/>
      <c r="L18" s="99"/>
      <c r="M18" s="99"/>
    </row>
    <row r="19" spans="1:13" ht="25.5">
      <c r="A19" s="34" t="s">
        <v>22</v>
      </c>
      <c r="B19" s="39" t="s">
        <v>19</v>
      </c>
      <c r="C19" s="35"/>
      <c r="D19" s="11"/>
      <c r="E19" s="11"/>
      <c r="F19" s="11"/>
      <c r="G19" s="47"/>
      <c r="I19" s="9" t="s">
        <v>22</v>
      </c>
      <c r="J19" s="136" t="s">
        <v>206</v>
      </c>
      <c r="K19" s="126"/>
      <c r="L19" s="98"/>
      <c r="M19" s="126" t="s">
        <v>241</v>
      </c>
    </row>
    <row r="20" spans="1:13" ht="63.75">
      <c r="A20" s="35">
        <v>1</v>
      </c>
      <c r="B20" s="37" t="s">
        <v>110</v>
      </c>
      <c r="C20" s="95" t="s">
        <v>124</v>
      </c>
      <c r="D20" s="95" t="s">
        <v>124</v>
      </c>
      <c r="E20" s="32">
        <f>0.5*0.06</f>
        <v>0.03</v>
      </c>
      <c r="F20" s="52">
        <f t="shared" ref="F20:F21" si="6">IF(C20="0 - not considered at all",0*$E20,IF(C20="1 -  planned, not implemented",1*$E20/3,IF(C20="2 - partially implemented",2*$E20/3,$E20)))</f>
        <v>0.03</v>
      </c>
      <c r="G20" s="53">
        <f t="shared" ref="G20:G21" si="7">IF(D20="0 - not considered at all",0*$E20,IF(D20="1 -  planned, not implemented",1*$E20/3,IF(D20="2 - partially implemented",2*$E20/3,$E20)))</f>
        <v>0.03</v>
      </c>
      <c r="J20" s="137"/>
      <c r="K20" s="126"/>
      <c r="L20" s="98"/>
      <c r="M20" s="126"/>
    </row>
    <row r="21" spans="1:13" ht="25.5">
      <c r="A21" s="35">
        <v>2</v>
      </c>
      <c r="B21" s="37" t="s">
        <v>129</v>
      </c>
      <c r="C21" s="95" t="s">
        <v>124</v>
      </c>
      <c r="D21" s="95" t="s">
        <v>124</v>
      </c>
      <c r="E21" s="32">
        <f>0.5*0.06</f>
        <v>0.03</v>
      </c>
      <c r="F21" s="52">
        <f t="shared" si="6"/>
        <v>0.03</v>
      </c>
      <c r="G21" s="53">
        <f t="shared" si="7"/>
        <v>0.03</v>
      </c>
      <c r="J21" s="138"/>
      <c r="K21" s="126"/>
      <c r="L21" s="98"/>
      <c r="M21" s="126"/>
    </row>
    <row r="22" spans="1:13">
      <c r="A22" s="35" t="s">
        <v>8</v>
      </c>
      <c r="B22" s="12"/>
      <c r="C22" s="133" t="s">
        <v>182</v>
      </c>
      <c r="D22" s="134"/>
      <c r="E22" s="135"/>
      <c r="F22" s="19">
        <f>SUM(F20:F21)</f>
        <v>0.06</v>
      </c>
      <c r="G22" s="19">
        <f>SUM(G19:G21)</f>
        <v>0.06</v>
      </c>
      <c r="H22" s="68" t="s">
        <v>195</v>
      </c>
      <c r="I22" s="70"/>
      <c r="J22" s="81"/>
      <c r="K22" s="99"/>
      <c r="L22" s="99"/>
      <c r="M22" s="99"/>
    </row>
    <row r="23" spans="1:13">
      <c r="A23" s="34" t="s">
        <v>23</v>
      </c>
      <c r="B23" s="91" t="s">
        <v>77</v>
      </c>
      <c r="C23" s="65"/>
      <c r="D23" s="80"/>
      <c r="E23" s="80"/>
      <c r="F23" s="80"/>
      <c r="G23" s="80"/>
      <c r="I23" s="9" t="s">
        <v>23</v>
      </c>
      <c r="J23" s="136" t="s">
        <v>207</v>
      </c>
      <c r="K23" s="126"/>
      <c r="L23" s="98"/>
      <c r="M23" s="126" t="s">
        <v>241</v>
      </c>
    </row>
    <row r="24" spans="1:13" ht="31.5" customHeight="1">
      <c r="A24" s="35">
        <v>1</v>
      </c>
      <c r="B24" s="37" t="s">
        <v>24</v>
      </c>
      <c r="C24" s="95" t="s">
        <v>121</v>
      </c>
      <c r="D24" s="95" t="s">
        <v>121</v>
      </c>
      <c r="E24" s="32">
        <f>0.6*0.03</f>
        <v>1.7999999999999999E-2</v>
      </c>
      <c r="F24" s="52">
        <f t="shared" ref="F24:F25" si="8">IF(C24="0 - not considered at all",0*$E24,IF(C24="1 -  planned, not implemented",1*$E24/3,IF(C24="2 - partially implemented",2*$E24/3,$E24)))</f>
        <v>0</v>
      </c>
      <c r="G24" s="53">
        <f t="shared" ref="G24:G25" si="9">IF(D24="0 - not considered at all",0*$E24,IF(D24="1 -  planned, not implemented",1*$E24/3,IF(D24="2 - partially implemented",2*$E24/3,$E24)))</f>
        <v>0</v>
      </c>
      <c r="J24" s="137"/>
      <c r="K24" s="126"/>
      <c r="L24" s="98"/>
      <c r="M24" s="126"/>
    </row>
    <row r="25" spans="1:13" ht="31.5" customHeight="1">
      <c r="A25" s="35">
        <v>2</v>
      </c>
      <c r="B25" s="37" t="s">
        <v>111</v>
      </c>
      <c r="C25" s="95" t="s">
        <v>121</v>
      </c>
      <c r="D25" s="95" t="s">
        <v>121</v>
      </c>
      <c r="E25" s="32">
        <f>0.4*0.03</f>
        <v>1.2E-2</v>
      </c>
      <c r="F25" s="52">
        <f t="shared" si="8"/>
        <v>0</v>
      </c>
      <c r="G25" s="53">
        <f t="shared" si="9"/>
        <v>0</v>
      </c>
      <c r="J25" s="138"/>
      <c r="K25" s="126"/>
      <c r="L25" s="98"/>
      <c r="M25" s="126"/>
    </row>
    <row r="26" spans="1:13">
      <c r="A26" s="35" t="s">
        <v>8</v>
      </c>
      <c r="B26" s="12"/>
      <c r="C26" s="133" t="s">
        <v>183</v>
      </c>
      <c r="D26" s="134"/>
      <c r="E26" s="135"/>
      <c r="F26" s="19">
        <f>SUM(F24:F25)</f>
        <v>0</v>
      </c>
      <c r="G26" s="19">
        <f>SUM(G23:G25)</f>
        <v>0</v>
      </c>
      <c r="H26" s="68" t="s">
        <v>196</v>
      </c>
      <c r="I26" s="70"/>
      <c r="J26" s="81"/>
      <c r="K26" s="99"/>
      <c r="L26" s="99"/>
      <c r="M26" s="99"/>
    </row>
    <row r="27" spans="1:13" ht="30">
      <c r="A27" s="34" t="s">
        <v>25</v>
      </c>
      <c r="B27" s="85" t="s">
        <v>78</v>
      </c>
      <c r="C27" s="65"/>
      <c r="D27" s="80"/>
      <c r="E27" s="80"/>
      <c r="F27" s="80"/>
      <c r="G27" s="80"/>
      <c r="I27" s="9" t="s">
        <v>25</v>
      </c>
      <c r="J27" s="136" t="s">
        <v>208</v>
      </c>
      <c r="K27" s="126"/>
      <c r="L27" s="98"/>
      <c r="M27" s="126" t="s">
        <v>241</v>
      </c>
    </row>
    <row r="28" spans="1:13" ht="32.25" customHeight="1">
      <c r="A28" s="35">
        <v>1</v>
      </c>
      <c r="B28" s="37" t="s">
        <v>112</v>
      </c>
      <c r="C28" s="95" t="s">
        <v>122</v>
      </c>
      <c r="D28" s="95" t="s">
        <v>121</v>
      </c>
      <c r="E28" s="32">
        <f>0.5*0.03</f>
        <v>1.4999999999999999E-2</v>
      </c>
      <c r="F28" s="52">
        <f t="shared" ref="F28:F29" si="10">IF(C28="0 - not considered at all",0*$E28,IF(C28="1 -  planned, not implemented",1*$E28/3,IF(C28="2 - partially implemented",2*$E28/3,$E28)))</f>
        <v>5.0000000000000001E-3</v>
      </c>
      <c r="G28" s="53">
        <f t="shared" ref="G28:G29" si="11">IF(D28="0 - not considered at all",0*$E28,IF(D28="1 -  planned, not implemented",1*$E28/3,IF(D28="2 - partially implemented",2*$E28/3,$E28)))</f>
        <v>0</v>
      </c>
      <c r="J28" s="137"/>
      <c r="K28" s="126"/>
      <c r="L28" s="98"/>
      <c r="M28" s="126"/>
    </row>
    <row r="29" spans="1:13" ht="63.75">
      <c r="A29" s="35">
        <v>2</v>
      </c>
      <c r="B29" s="37" t="s">
        <v>113</v>
      </c>
      <c r="C29" s="95" t="s">
        <v>121</v>
      </c>
      <c r="D29" s="95" t="s">
        <v>121</v>
      </c>
      <c r="E29" s="32">
        <f>0.5*0.03</f>
        <v>1.4999999999999999E-2</v>
      </c>
      <c r="F29" s="52">
        <f t="shared" si="10"/>
        <v>0</v>
      </c>
      <c r="G29" s="53">
        <f t="shared" si="11"/>
        <v>0</v>
      </c>
      <c r="J29" s="138"/>
      <c r="K29" s="126"/>
      <c r="L29" s="98"/>
      <c r="M29" s="126"/>
    </row>
    <row r="30" spans="1:13" ht="15.75" thickBot="1">
      <c r="A30" s="35" t="s">
        <v>8</v>
      </c>
      <c r="B30" s="12"/>
      <c r="C30" s="133" t="s">
        <v>184</v>
      </c>
      <c r="D30" s="134"/>
      <c r="E30" s="135"/>
      <c r="F30" s="19">
        <f>SUM(F28:F29)</f>
        <v>5.0000000000000001E-3</v>
      </c>
      <c r="G30" s="19">
        <f>SUM(G27:G29)</f>
        <v>0</v>
      </c>
      <c r="H30" s="68" t="s">
        <v>196</v>
      </c>
      <c r="I30" s="70"/>
    </row>
    <row r="31" spans="1:13" ht="15.75" thickBot="1">
      <c r="C31" s="139" t="s">
        <v>175</v>
      </c>
      <c r="D31" s="139"/>
      <c r="F31" s="44">
        <f>SUM(F7,F13,F18,F22,F26,F30)</f>
        <v>0.224</v>
      </c>
      <c r="G31" s="44">
        <f>SUM(G7,G13,G18,G22,G26,G30)</f>
        <v>0.22550000000000001</v>
      </c>
    </row>
    <row r="32" spans="1:13">
      <c r="C32" s="140" t="s">
        <v>181</v>
      </c>
      <c r="D32" s="140"/>
      <c r="F32" s="47">
        <v>30</v>
      </c>
      <c r="G32" s="47">
        <v>30</v>
      </c>
    </row>
    <row r="33" spans="1:12">
      <c r="D33" s="14"/>
      <c r="E33" s="14"/>
      <c r="G33" s="41"/>
    </row>
    <row r="34" spans="1:12" customFormat="1" ht="32.25" customHeight="1">
      <c r="A34" s="131" t="s">
        <v>153</v>
      </c>
      <c r="B34" s="131"/>
      <c r="C34" s="45"/>
      <c r="D34" s="132" t="s">
        <v>154</v>
      </c>
      <c r="E34" s="132"/>
      <c r="F34" s="132"/>
      <c r="G34" s="132"/>
      <c r="H34" s="132"/>
      <c r="I34" s="132"/>
      <c r="J34" s="132"/>
      <c r="K34" s="46"/>
      <c r="L34" s="46"/>
    </row>
  </sheetData>
  <sheetProtection password="CE28" sheet="1" objects="1" scenarios="1" formatRows="0"/>
  <mergeCells count="28">
    <mergeCell ref="A34:B34"/>
    <mergeCell ref="D34:J34"/>
    <mergeCell ref="C30:E30"/>
    <mergeCell ref="C22:E22"/>
    <mergeCell ref="C26:E26"/>
    <mergeCell ref="J23:J25"/>
    <mergeCell ref="J27:J29"/>
    <mergeCell ref="C32:D32"/>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C7:D7"/>
    <mergeCell ref="C13:D13"/>
    <mergeCell ref="C18:D18"/>
    <mergeCell ref="C31:D31"/>
    <mergeCell ref="J19:J21"/>
  </mergeCells>
  <phoneticPr fontId="7" type="noConversion"/>
  <dataValidations count="1">
    <dataValidation type="list" allowBlank="1" showInputMessage="1" showErrorMessage="1" sqref="C24:D25 C28:D29 C4:D6 C9:D12 C15:D17 C20:D21">
      <formula1>$L$4:$L$7</formula1>
    </dataValidation>
  </dataValidations>
  <pageMargins left="0.51181102362204722" right="0.31496062992125984" top="0.61354166666666665" bottom="0.74803149606299213" header="0.31496062992125984" footer="0.31496062992125984"/>
  <pageSetup paperSize="9" scale="95" firstPageNumber="4" orientation="landscape" useFirstPageNumber="1" r:id="rId1"/>
  <headerFooter>
    <oddHeader>&amp;COLAREX case page &amp;P</oddHeader>
    <oddFooter>&amp;LCopy right issue&amp;CThis product is released under Creative Common licence  
CC BY-NC-ND 3.0&amp;R&amp;G</oddFooter>
  </headerFooter>
  <rowBreaks count="1" manualBreakCount="1">
    <brk id="18" max="16383" man="1"/>
  </row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zoomScaleNormal="100" workbookViewId="0">
      <selection activeCell="M1" sqref="M1:M1048576"/>
    </sheetView>
  </sheetViews>
  <sheetFormatPr defaultColWidth="34.5703125" defaultRowHeight="15"/>
  <cols>
    <col min="1" max="1" width="4.42578125" style="9" customWidth="1"/>
    <col min="2" max="2" width="36" style="8" customWidth="1"/>
    <col min="3" max="3" width="17.85546875" style="9" customWidth="1"/>
    <col min="4" max="4" width="18" style="10" hidden="1" customWidth="1"/>
    <col min="5" max="5" width="0.140625" style="10" customWidth="1"/>
    <col min="6" max="6" width="7.85546875" style="10" customWidth="1"/>
    <col min="7" max="7" width="8.5703125" style="10" hidden="1" customWidth="1"/>
    <col min="8" max="8" width="6.85546875" style="9" customWidth="1"/>
    <col min="9" max="9" width="3.5703125" style="9" customWidth="1"/>
    <col min="10" max="10" width="42.140625" style="9" customWidth="1"/>
    <col min="11" max="11" width="28.42578125" style="9" customWidth="1"/>
    <col min="12" max="12" width="0.140625" style="9" customWidth="1"/>
    <col min="13" max="13" width="33.85546875" style="9" hidden="1" customWidth="1"/>
    <col min="14" max="14" width="3" style="9" bestFit="1" customWidth="1"/>
    <col min="15" max="16384" width="34.5703125" style="9"/>
  </cols>
  <sheetData>
    <row r="1" spans="1:13" s="17" customFormat="1">
      <c r="A1" s="30" t="s">
        <v>126</v>
      </c>
      <c r="B1" s="16"/>
      <c r="D1" s="18"/>
      <c r="E1" s="18"/>
      <c r="F1" s="18"/>
      <c r="G1" s="18"/>
    </row>
    <row r="2" spans="1:13" ht="60.75" customHeight="1">
      <c r="A2" s="59" t="s">
        <v>75</v>
      </c>
      <c r="B2" s="60" t="s">
        <v>161</v>
      </c>
      <c r="C2" s="61" t="s">
        <v>118</v>
      </c>
      <c r="D2" s="62" t="s">
        <v>230</v>
      </c>
      <c r="E2" s="73" t="s">
        <v>9</v>
      </c>
      <c r="F2" s="73" t="s">
        <v>12</v>
      </c>
      <c r="G2" s="64" t="s">
        <v>156</v>
      </c>
      <c r="H2" s="65"/>
      <c r="I2" s="65"/>
      <c r="J2" s="66" t="s">
        <v>163</v>
      </c>
      <c r="K2" s="67" t="s">
        <v>222</v>
      </c>
      <c r="L2" s="65"/>
      <c r="M2" s="74" t="s">
        <v>176</v>
      </c>
    </row>
    <row r="3" spans="1:13">
      <c r="A3" s="87" t="s">
        <v>26</v>
      </c>
      <c r="B3" s="88" t="s">
        <v>27</v>
      </c>
      <c r="C3" s="65"/>
      <c r="D3" s="80"/>
      <c r="E3" s="80"/>
      <c r="F3" s="80"/>
      <c r="G3" s="80"/>
      <c r="I3" s="9" t="s">
        <v>26</v>
      </c>
      <c r="J3" s="136" t="s">
        <v>210</v>
      </c>
      <c r="K3" s="126"/>
      <c r="L3" s="98"/>
      <c r="M3" s="126" t="s">
        <v>241</v>
      </c>
    </row>
    <row r="4" spans="1:13" ht="25.5" customHeight="1">
      <c r="A4" s="35">
        <v>1</v>
      </c>
      <c r="B4" s="54" t="s">
        <v>131</v>
      </c>
      <c r="C4" s="95" t="s">
        <v>124</v>
      </c>
      <c r="D4" s="95" t="s">
        <v>124</v>
      </c>
      <c r="E4" s="32">
        <f>0.2*0.04</f>
        <v>8.0000000000000002E-3</v>
      </c>
      <c r="F4" s="52">
        <f>IF(C4="0 - not considered at all",0*$E4,IF(C4="1 -  planned, not implemented",$E4/3,IF(C4="2 - partially implemented",2*$E4/3,$E4)))</f>
        <v>8.0000000000000002E-3</v>
      </c>
      <c r="G4" s="53">
        <f>IF(D4="0 - not considered at all",0*$E4,IF(D4="1 -  planned, not implemented",$E4/3,IF(D4="2 - partially implemented",2*$E4/3,$E4)))</f>
        <v>8.0000000000000002E-3</v>
      </c>
      <c r="J4" s="137"/>
      <c r="K4" s="126"/>
      <c r="L4" s="96" t="s">
        <v>121</v>
      </c>
      <c r="M4" s="126"/>
    </row>
    <row r="5" spans="1:13" ht="27" customHeight="1">
      <c r="A5" s="35">
        <v>2</v>
      </c>
      <c r="B5" s="54" t="s">
        <v>132</v>
      </c>
      <c r="C5" s="95" t="s">
        <v>121</v>
      </c>
      <c r="D5" s="95" t="s">
        <v>121</v>
      </c>
      <c r="E5" s="32">
        <f>0.3*0.04</f>
        <v>1.2E-2</v>
      </c>
      <c r="F5" s="52">
        <f t="shared" ref="F5:F8" si="0">IF(C5="0 - not considered at all",0*$E5,IF(C5="1 -  planned, not implemented",$E5/3,IF(C5="2 - partially implemented",2*$E5/3,$E5)))</f>
        <v>0</v>
      </c>
      <c r="G5" s="53">
        <f t="shared" ref="G5:G8" si="1">IF(D5="0 - not considered at all",0*$E5,IF(D5="1 -  planned, not implemented",$E5/3,IF(D5="2 - partially implemented",2*$E5/3,$E5)))</f>
        <v>0</v>
      </c>
      <c r="J5" s="137"/>
      <c r="K5" s="126"/>
      <c r="L5" s="96" t="s">
        <v>122</v>
      </c>
      <c r="M5" s="126"/>
    </row>
    <row r="6" spans="1:13" ht="27" customHeight="1">
      <c r="A6" s="35">
        <v>3</v>
      </c>
      <c r="B6" s="54" t="s">
        <v>133</v>
      </c>
      <c r="C6" s="95" t="s">
        <v>124</v>
      </c>
      <c r="D6" s="95" t="s">
        <v>124</v>
      </c>
      <c r="E6" s="32">
        <f>0.2*0.04</f>
        <v>8.0000000000000002E-3</v>
      </c>
      <c r="F6" s="52">
        <f t="shared" si="0"/>
        <v>8.0000000000000002E-3</v>
      </c>
      <c r="G6" s="53">
        <f t="shared" si="1"/>
        <v>8.0000000000000002E-3</v>
      </c>
      <c r="J6" s="137"/>
      <c r="K6" s="126"/>
      <c r="L6" s="96" t="s">
        <v>123</v>
      </c>
      <c r="M6" s="126"/>
    </row>
    <row r="7" spans="1:13" ht="31.5" customHeight="1">
      <c r="A7" s="35">
        <v>4</v>
      </c>
      <c r="B7" s="54" t="s">
        <v>134</v>
      </c>
      <c r="C7" s="95" t="s">
        <v>124</v>
      </c>
      <c r="D7" s="95" t="s">
        <v>124</v>
      </c>
      <c r="E7" s="32">
        <f>0.1*0.04</f>
        <v>4.0000000000000001E-3</v>
      </c>
      <c r="F7" s="52">
        <f t="shared" si="0"/>
        <v>4.0000000000000001E-3</v>
      </c>
      <c r="G7" s="53">
        <f t="shared" si="1"/>
        <v>4.0000000000000001E-3</v>
      </c>
      <c r="J7" s="137"/>
      <c r="K7" s="126"/>
      <c r="L7" s="96" t="s">
        <v>124</v>
      </c>
      <c r="M7" s="126"/>
    </row>
    <row r="8" spans="1:13" ht="27.75" customHeight="1">
      <c r="A8" s="35">
        <v>5</v>
      </c>
      <c r="B8" s="55" t="s">
        <v>135</v>
      </c>
      <c r="C8" s="95" t="s">
        <v>124</v>
      </c>
      <c r="D8" s="95" t="s">
        <v>124</v>
      </c>
      <c r="E8" s="32">
        <f>0.2*0.04</f>
        <v>8.0000000000000002E-3</v>
      </c>
      <c r="F8" s="52">
        <f t="shared" si="0"/>
        <v>8.0000000000000002E-3</v>
      </c>
      <c r="G8" s="53">
        <f t="shared" si="1"/>
        <v>8.0000000000000002E-3</v>
      </c>
      <c r="J8" s="138"/>
      <c r="K8" s="126"/>
      <c r="L8" s="98"/>
      <c r="M8" s="126"/>
    </row>
    <row r="9" spans="1:13" ht="17.25" customHeight="1">
      <c r="A9" s="35" t="s">
        <v>8</v>
      </c>
      <c r="B9" s="12"/>
      <c r="C9" s="133" t="s">
        <v>158</v>
      </c>
      <c r="D9" s="135"/>
      <c r="E9" s="56">
        <f>SUM(E3:E8)</f>
        <v>0.04</v>
      </c>
      <c r="F9" s="78">
        <f>SUM(F4:F8)</f>
        <v>2.8000000000000001E-2</v>
      </c>
      <c r="G9" s="78">
        <f>SUM(G4:G8)</f>
        <v>2.8000000000000001E-2</v>
      </c>
      <c r="H9" s="13" t="s">
        <v>197</v>
      </c>
      <c r="I9" s="13"/>
      <c r="J9" s="81"/>
      <c r="K9" s="99"/>
      <c r="L9" s="99"/>
      <c r="M9" s="99"/>
    </row>
    <row r="10" spans="1:13" ht="33" customHeight="1">
      <c r="A10" s="86" t="s">
        <v>28</v>
      </c>
      <c r="B10" s="88" t="s">
        <v>29</v>
      </c>
      <c r="C10" s="65"/>
      <c r="D10" s="80"/>
      <c r="E10" s="80"/>
      <c r="F10" s="80"/>
      <c r="G10" s="80"/>
      <c r="H10" s="76"/>
      <c r="I10" s="76" t="s">
        <v>28</v>
      </c>
      <c r="J10" s="136" t="s">
        <v>211</v>
      </c>
      <c r="K10" s="126"/>
      <c r="L10" s="98"/>
      <c r="M10" s="126" t="s">
        <v>241</v>
      </c>
    </row>
    <row r="11" spans="1:13" ht="25.5">
      <c r="A11" s="35">
        <v>1</v>
      </c>
      <c r="B11" s="37" t="s">
        <v>30</v>
      </c>
      <c r="C11" s="95" t="s">
        <v>124</v>
      </c>
      <c r="D11" s="95" t="s">
        <v>124</v>
      </c>
      <c r="E11" s="32">
        <f>0.2*4/100</f>
        <v>8.0000000000000002E-3</v>
      </c>
      <c r="F11" s="52">
        <f>IF(C11="0 - not considered at all",0*$E11,IF(C11="1 -  planned, not implemented",1*$E11/3,IF(C11="2 - partially implemented",2*$E11/3,$E11)))</f>
        <v>8.0000000000000002E-3</v>
      </c>
      <c r="G11" s="53">
        <f t="shared" ref="G11:G14" si="2">IF(D11="0 - not considered at all",0*$E11,IF(D11="1 -  planned, not implemented",$E11/3,IF(D11="2 - partially implemented",2*$E11/3,$E11)))</f>
        <v>8.0000000000000002E-3</v>
      </c>
      <c r="J11" s="137"/>
      <c r="K11" s="126"/>
      <c r="L11" s="98"/>
      <c r="M11" s="126"/>
    </row>
    <row r="12" spans="1:13" ht="25.5">
      <c r="A12" s="35">
        <v>2</v>
      </c>
      <c r="B12" s="37" t="s">
        <v>31</v>
      </c>
      <c r="C12" s="95" t="s">
        <v>124</v>
      </c>
      <c r="D12" s="95" t="s">
        <v>124</v>
      </c>
      <c r="E12" s="32">
        <f>0.2*4/100</f>
        <v>8.0000000000000002E-3</v>
      </c>
      <c r="F12" s="52">
        <f t="shared" ref="F12:F14" si="3">IF(C12="0 - not considered at all",0*$E12,IF(C12="1 -  planned, not implemented",1*$E12/3,IF(C12="2 - partially implemented",2*$E12/3,$E12)))</f>
        <v>8.0000000000000002E-3</v>
      </c>
      <c r="G12" s="53">
        <f t="shared" si="2"/>
        <v>8.0000000000000002E-3</v>
      </c>
      <c r="J12" s="137"/>
      <c r="K12" s="126"/>
      <c r="L12" s="98"/>
      <c r="M12" s="126"/>
    </row>
    <row r="13" spans="1:13" ht="25.5">
      <c r="A13" s="35">
        <v>3</v>
      </c>
      <c r="B13" s="37" t="s">
        <v>69</v>
      </c>
      <c r="C13" s="95" t="s">
        <v>124</v>
      </c>
      <c r="D13" s="95" t="s">
        <v>124</v>
      </c>
      <c r="E13" s="32">
        <f>0.3*4/100</f>
        <v>1.2E-2</v>
      </c>
      <c r="F13" s="52">
        <f t="shared" si="3"/>
        <v>1.2E-2</v>
      </c>
      <c r="G13" s="53">
        <f t="shared" si="2"/>
        <v>1.2E-2</v>
      </c>
      <c r="J13" s="137"/>
      <c r="K13" s="126"/>
      <c r="L13" s="98"/>
      <c r="M13" s="126"/>
    </row>
    <row r="14" spans="1:13" ht="90.75" customHeight="1">
      <c r="A14" s="35">
        <v>4</v>
      </c>
      <c r="B14" s="37" t="s">
        <v>70</v>
      </c>
      <c r="C14" s="95" t="s">
        <v>124</v>
      </c>
      <c r="D14" s="95" t="s">
        <v>124</v>
      </c>
      <c r="E14" s="32">
        <f>0.3*4/100</f>
        <v>1.2E-2</v>
      </c>
      <c r="F14" s="52">
        <f t="shared" si="3"/>
        <v>1.2E-2</v>
      </c>
      <c r="G14" s="53">
        <f t="shared" si="2"/>
        <v>1.2E-2</v>
      </c>
      <c r="J14" s="138"/>
      <c r="K14" s="126"/>
      <c r="L14" s="98"/>
      <c r="M14" s="126"/>
    </row>
    <row r="15" spans="1:13">
      <c r="A15" s="35" t="s">
        <v>8</v>
      </c>
      <c r="B15" s="12"/>
      <c r="C15" s="133" t="s">
        <v>159</v>
      </c>
      <c r="D15" s="135"/>
      <c r="E15" s="49"/>
      <c r="F15" s="78">
        <f>SUM(F11:F14)</f>
        <v>0.04</v>
      </c>
      <c r="G15" s="78">
        <f>SUM(G11:G14)</f>
        <v>0.04</v>
      </c>
      <c r="H15" s="13" t="s">
        <v>197</v>
      </c>
      <c r="I15" s="13"/>
      <c r="J15" s="81"/>
      <c r="K15" s="99"/>
      <c r="L15" s="99"/>
      <c r="M15" s="99"/>
    </row>
    <row r="16" spans="1:13">
      <c r="A16" s="86" t="s">
        <v>116</v>
      </c>
      <c r="B16" s="89" t="s">
        <v>71</v>
      </c>
      <c r="C16" s="65"/>
      <c r="D16" s="80"/>
      <c r="E16" s="80"/>
      <c r="F16" s="80"/>
      <c r="G16" s="80"/>
      <c r="H16" s="76"/>
      <c r="I16" s="76" t="s">
        <v>116</v>
      </c>
      <c r="J16" s="136" t="s">
        <v>209</v>
      </c>
      <c r="K16" s="126"/>
      <c r="L16" s="98"/>
      <c r="M16" s="126" t="s">
        <v>242</v>
      </c>
    </row>
    <row r="17" spans="1:13" ht="27" customHeight="1">
      <c r="A17" s="35">
        <v>1</v>
      </c>
      <c r="B17" s="37" t="s">
        <v>136</v>
      </c>
      <c r="C17" s="95" t="s">
        <v>124</v>
      </c>
      <c r="D17" s="95" t="s">
        <v>123</v>
      </c>
      <c r="E17" s="32">
        <f t="shared" ref="E17:E21" si="4">0.2*4/100</f>
        <v>8.0000000000000002E-3</v>
      </c>
      <c r="F17" s="52">
        <f t="shared" ref="F17:F21" si="5">IF(C17="0 - not considered at all",0*$E17,IF(C17="1 -  planned, not implemented",1*$E17/3,IF(C17="2 - partially implemented",2*$E17/3,$E17)))</f>
        <v>8.0000000000000002E-3</v>
      </c>
      <c r="G17" s="53">
        <f t="shared" ref="G17:G21" si="6">IF(D17="0 - not considered at all",0*$E17,IF(D17="1 -  planned, not implemented",$E17/3,IF(D17="2 - partially implemented",2*$E17/3,$E17)))</f>
        <v>5.3333333333333332E-3</v>
      </c>
      <c r="J17" s="137"/>
      <c r="K17" s="126"/>
      <c r="L17" s="98"/>
      <c r="M17" s="126"/>
    </row>
    <row r="18" spans="1:13" ht="39" customHeight="1">
      <c r="A18" s="35">
        <v>2</v>
      </c>
      <c r="B18" s="37" t="s">
        <v>137</v>
      </c>
      <c r="C18" s="95" t="s">
        <v>124</v>
      </c>
      <c r="D18" s="95" t="s">
        <v>123</v>
      </c>
      <c r="E18" s="32">
        <f t="shared" si="4"/>
        <v>8.0000000000000002E-3</v>
      </c>
      <c r="F18" s="52">
        <f t="shared" si="5"/>
        <v>8.0000000000000002E-3</v>
      </c>
      <c r="G18" s="53">
        <f t="shared" si="6"/>
        <v>5.3333333333333332E-3</v>
      </c>
      <c r="J18" s="137"/>
      <c r="K18" s="126"/>
      <c r="L18" s="98"/>
      <c r="M18" s="126"/>
    </row>
    <row r="19" spans="1:13" ht="25.5">
      <c r="A19" s="35">
        <v>3</v>
      </c>
      <c r="B19" s="37" t="s">
        <v>138</v>
      </c>
      <c r="C19" s="95" t="s">
        <v>124</v>
      </c>
      <c r="D19" s="95" t="s">
        <v>124</v>
      </c>
      <c r="E19" s="32">
        <f t="shared" si="4"/>
        <v>8.0000000000000002E-3</v>
      </c>
      <c r="F19" s="52">
        <f t="shared" si="5"/>
        <v>8.0000000000000002E-3</v>
      </c>
      <c r="G19" s="53">
        <f t="shared" si="6"/>
        <v>8.0000000000000002E-3</v>
      </c>
      <c r="J19" s="137"/>
      <c r="K19" s="126"/>
      <c r="L19" s="98"/>
      <c r="M19" s="126"/>
    </row>
    <row r="20" spans="1:13" ht="29.25" customHeight="1">
      <c r="A20" s="35">
        <v>4</v>
      </c>
      <c r="B20" s="37" t="s">
        <v>142</v>
      </c>
      <c r="C20" s="95" t="s">
        <v>124</v>
      </c>
      <c r="D20" s="95" t="s">
        <v>124</v>
      </c>
      <c r="E20" s="32">
        <f t="shared" si="4"/>
        <v>8.0000000000000002E-3</v>
      </c>
      <c r="F20" s="52">
        <f t="shared" si="5"/>
        <v>8.0000000000000002E-3</v>
      </c>
      <c r="G20" s="53">
        <f t="shared" si="6"/>
        <v>8.0000000000000002E-3</v>
      </c>
      <c r="J20" s="137"/>
      <c r="K20" s="126"/>
      <c r="L20" s="98"/>
      <c r="M20" s="126"/>
    </row>
    <row r="21" spans="1:13" ht="38.25">
      <c r="A21" s="35">
        <v>5</v>
      </c>
      <c r="B21" s="38" t="s">
        <v>143</v>
      </c>
      <c r="C21" s="95" t="s">
        <v>124</v>
      </c>
      <c r="D21" s="95" t="s">
        <v>124</v>
      </c>
      <c r="E21" s="32">
        <f t="shared" si="4"/>
        <v>8.0000000000000002E-3</v>
      </c>
      <c r="F21" s="52">
        <f t="shared" si="5"/>
        <v>8.0000000000000002E-3</v>
      </c>
      <c r="G21" s="53">
        <f t="shared" si="6"/>
        <v>8.0000000000000002E-3</v>
      </c>
      <c r="J21" s="138"/>
      <c r="K21" s="126"/>
      <c r="L21" s="98"/>
      <c r="M21" s="126"/>
    </row>
    <row r="22" spans="1:13">
      <c r="A22" s="35" t="s">
        <v>8</v>
      </c>
      <c r="B22" s="12"/>
      <c r="C22" s="133" t="s">
        <v>160</v>
      </c>
      <c r="D22" s="135"/>
      <c r="E22" s="49"/>
      <c r="F22" s="78">
        <f>SUM(F17:F21)</f>
        <v>0.04</v>
      </c>
      <c r="G22" s="78">
        <f>SUM(G17:G21)</f>
        <v>3.4666666666666665E-2</v>
      </c>
      <c r="H22" s="13" t="s">
        <v>197</v>
      </c>
      <c r="I22" s="13"/>
      <c r="J22" s="81"/>
      <c r="K22" s="99"/>
      <c r="L22" s="99"/>
      <c r="M22" s="99"/>
    </row>
    <row r="23" spans="1:13">
      <c r="A23" s="86" t="s">
        <v>32</v>
      </c>
      <c r="B23" s="89" t="s">
        <v>72</v>
      </c>
      <c r="C23" s="65"/>
      <c r="D23" s="80"/>
      <c r="E23" s="80"/>
      <c r="F23" s="80"/>
      <c r="G23" s="80"/>
      <c r="H23" s="76"/>
      <c r="I23" s="76" t="s">
        <v>32</v>
      </c>
      <c r="J23" s="136" t="s">
        <v>212</v>
      </c>
      <c r="K23" s="126"/>
      <c r="L23" s="98"/>
      <c r="M23" s="126" t="s">
        <v>243</v>
      </c>
    </row>
    <row r="24" spans="1:13" ht="66.75" customHeight="1">
      <c r="A24" s="35">
        <v>1</v>
      </c>
      <c r="B24" s="37" t="s">
        <v>144</v>
      </c>
      <c r="C24" s="95" t="s">
        <v>124</v>
      </c>
      <c r="D24" s="95" t="s">
        <v>124</v>
      </c>
      <c r="E24" s="32">
        <f>0.5*0.04</f>
        <v>0.02</v>
      </c>
      <c r="F24" s="52">
        <f t="shared" ref="F24:F25" si="7">IF(C24="0 - not considered at all",0*$E24,IF(C24="1 -  planned, not implemented",1*$E24/3,IF(C24="2 - partially implemented",2*$E24/3,$E24)))</f>
        <v>0.02</v>
      </c>
      <c r="G24" s="53">
        <f t="shared" ref="G24:G25" si="8">IF(D24="0 - not considered at all",0*$E24,IF(D24="1 -  planned, not implemented",$E24/3,IF(D24="2 - partially implemented",2*$E24/3,$E24)))</f>
        <v>0.02</v>
      </c>
      <c r="J24" s="137"/>
      <c r="K24" s="126"/>
      <c r="L24" s="98"/>
      <c r="M24" s="126"/>
    </row>
    <row r="25" spans="1:13" ht="42.75" customHeight="1">
      <c r="A25" s="35">
        <v>2</v>
      </c>
      <c r="B25" s="37" t="s">
        <v>145</v>
      </c>
      <c r="C25" s="95" t="s">
        <v>124</v>
      </c>
      <c r="D25" s="95" t="s">
        <v>124</v>
      </c>
      <c r="E25" s="32">
        <f>0.5*0.04</f>
        <v>0.02</v>
      </c>
      <c r="F25" s="52">
        <f t="shared" si="7"/>
        <v>0.02</v>
      </c>
      <c r="G25" s="53">
        <f t="shared" si="8"/>
        <v>0.02</v>
      </c>
      <c r="J25" s="138"/>
      <c r="K25" s="126"/>
      <c r="L25" s="98"/>
      <c r="M25" s="126"/>
    </row>
    <row r="26" spans="1:13">
      <c r="A26" s="35" t="s">
        <v>8</v>
      </c>
      <c r="B26" s="12"/>
      <c r="C26" s="133" t="s">
        <v>177</v>
      </c>
      <c r="D26" s="135"/>
      <c r="E26" s="49"/>
      <c r="F26" s="78">
        <f>SUM(F24:F25)</f>
        <v>0.04</v>
      </c>
      <c r="G26" s="78">
        <f>SUM(G24:G25)</f>
        <v>0.04</v>
      </c>
      <c r="H26" s="13" t="s">
        <v>197</v>
      </c>
      <c r="I26" s="13"/>
      <c r="J26" s="81"/>
      <c r="K26" s="99"/>
      <c r="L26" s="99"/>
      <c r="M26" s="99"/>
    </row>
    <row r="27" spans="1:13" ht="33.75" customHeight="1">
      <c r="A27" s="86" t="s">
        <v>33</v>
      </c>
      <c r="B27" s="88" t="s">
        <v>74</v>
      </c>
      <c r="C27" s="65"/>
      <c r="D27" s="80"/>
      <c r="E27" s="80"/>
      <c r="F27" s="80"/>
      <c r="G27" s="80"/>
      <c r="H27" s="76"/>
      <c r="I27" s="76" t="s">
        <v>33</v>
      </c>
      <c r="J27" s="136" t="s">
        <v>213</v>
      </c>
      <c r="K27" s="126"/>
      <c r="L27" s="99"/>
      <c r="M27" s="126" t="s">
        <v>243</v>
      </c>
    </row>
    <row r="28" spans="1:13" ht="34.5" customHeight="1">
      <c r="A28" s="35">
        <v>1</v>
      </c>
      <c r="B28" s="37" t="s">
        <v>146</v>
      </c>
      <c r="C28" s="95" t="s">
        <v>124</v>
      </c>
      <c r="D28" s="95" t="s">
        <v>124</v>
      </c>
      <c r="E28" s="32">
        <f>0.3*0.02</f>
        <v>6.0000000000000001E-3</v>
      </c>
      <c r="F28" s="52">
        <f t="shared" ref="F28:F30" si="9">IF(C28="0 - not considered at all",0*$E28,IF(C28="1 -  planned, not implemented",1*$E28/3,IF(C28="2 - partially implemented",2*$E28/3,$E28)))</f>
        <v>6.0000000000000001E-3</v>
      </c>
      <c r="G28" s="53">
        <f t="shared" ref="G28:G30" si="10">IF(D28="0 - not considered at all",0*$E28,IF(D28="1 -  planned, not implemented",$E28/3,IF(D28="2 - partially implemented",2*$E28/3,$E28)))</f>
        <v>6.0000000000000001E-3</v>
      </c>
      <c r="J28" s="137"/>
      <c r="K28" s="126"/>
      <c r="L28" s="99"/>
      <c r="M28" s="126"/>
    </row>
    <row r="29" spans="1:13" ht="38.25">
      <c r="A29" s="35">
        <v>2</v>
      </c>
      <c r="B29" s="37" t="s">
        <v>147</v>
      </c>
      <c r="C29" s="95" t="s">
        <v>124</v>
      </c>
      <c r="D29" s="95" t="s">
        <v>124</v>
      </c>
      <c r="E29" s="32">
        <f>0.3*0.02</f>
        <v>6.0000000000000001E-3</v>
      </c>
      <c r="F29" s="52">
        <f t="shared" si="9"/>
        <v>6.0000000000000001E-3</v>
      </c>
      <c r="G29" s="53">
        <f t="shared" si="10"/>
        <v>6.0000000000000001E-3</v>
      </c>
      <c r="J29" s="137"/>
      <c r="K29" s="126"/>
      <c r="L29" s="99"/>
      <c r="M29" s="126"/>
    </row>
    <row r="30" spans="1:13" ht="45" customHeight="1">
      <c r="A30" s="35">
        <v>3</v>
      </c>
      <c r="B30" s="37" t="s">
        <v>148</v>
      </c>
      <c r="C30" s="95" t="s">
        <v>124</v>
      </c>
      <c r="D30" s="95" t="s">
        <v>124</v>
      </c>
      <c r="E30" s="32">
        <f>0.4*0.02</f>
        <v>8.0000000000000002E-3</v>
      </c>
      <c r="F30" s="52">
        <f t="shared" si="9"/>
        <v>8.0000000000000002E-3</v>
      </c>
      <c r="G30" s="53">
        <f t="shared" si="10"/>
        <v>8.0000000000000002E-3</v>
      </c>
      <c r="J30" s="138"/>
      <c r="K30" s="126"/>
      <c r="L30" s="99"/>
      <c r="M30" s="126"/>
    </row>
    <row r="31" spans="1:13">
      <c r="A31" s="35" t="s">
        <v>8</v>
      </c>
      <c r="B31" s="12"/>
      <c r="C31" s="133" t="s">
        <v>178</v>
      </c>
      <c r="D31" s="135"/>
      <c r="E31" s="49"/>
      <c r="F31" s="78">
        <f>SUM(F28:F30)</f>
        <v>0.02</v>
      </c>
      <c r="G31" s="78">
        <f>SUM(G28:G30)</f>
        <v>0.02</v>
      </c>
      <c r="H31" s="13" t="s">
        <v>198</v>
      </c>
      <c r="I31" s="13"/>
      <c r="J31" s="81"/>
      <c r="K31" s="99"/>
      <c r="L31" s="99"/>
      <c r="M31" s="99"/>
    </row>
    <row r="32" spans="1:13" ht="16.5" customHeight="1">
      <c r="A32" s="86" t="s">
        <v>73</v>
      </c>
      <c r="B32" s="88" t="s">
        <v>94</v>
      </c>
      <c r="C32" s="65"/>
      <c r="D32" s="80"/>
      <c r="E32" s="80"/>
      <c r="F32" s="80"/>
      <c r="G32" s="47"/>
      <c r="H32" s="76"/>
      <c r="I32" s="76" t="s">
        <v>73</v>
      </c>
      <c r="J32" s="136" t="s">
        <v>214</v>
      </c>
      <c r="K32" s="126"/>
      <c r="L32" s="98"/>
      <c r="M32" s="126"/>
    </row>
    <row r="33" spans="1:13" ht="28.5" customHeight="1">
      <c r="A33" s="35">
        <v>1</v>
      </c>
      <c r="B33" s="37" t="s">
        <v>149</v>
      </c>
      <c r="C33" s="95" t="s">
        <v>121</v>
      </c>
      <c r="D33" s="95" t="s">
        <v>121</v>
      </c>
      <c r="E33" s="32">
        <f>0.5*0.02</f>
        <v>0.01</v>
      </c>
      <c r="F33" s="52">
        <f t="shared" ref="F33:F34" si="11">IF(C33="0 - not considered at all",0*$E33,IF(C33="1 -  planned, not implemented",1*$E33/3,IF(C33="2 - partially implemented",2*$E33/3,$E33)))</f>
        <v>0</v>
      </c>
      <c r="G33" s="53">
        <f t="shared" ref="G33:G34" si="12">IF(D33="0 - not considered at all",0*$E33,IF(D33="1 -  planned, not implemented",$E33/3,IF(D33="2 - partially implemented",2*$E33/3,$E33)))</f>
        <v>0</v>
      </c>
      <c r="J33" s="137"/>
      <c r="K33" s="126"/>
      <c r="L33" s="98"/>
      <c r="M33" s="126"/>
    </row>
    <row r="34" spans="1:13" ht="25.5">
      <c r="A34" s="35">
        <v>2</v>
      </c>
      <c r="B34" s="37" t="s">
        <v>150</v>
      </c>
      <c r="C34" s="95" t="s">
        <v>121</v>
      </c>
      <c r="D34" s="95" t="s">
        <v>121</v>
      </c>
      <c r="E34" s="32">
        <f>0.5*0.02</f>
        <v>0.01</v>
      </c>
      <c r="F34" s="52">
        <f t="shared" si="11"/>
        <v>0</v>
      </c>
      <c r="G34" s="53">
        <f t="shared" si="12"/>
        <v>0</v>
      </c>
      <c r="J34" s="138"/>
      <c r="K34" s="126"/>
      <c r="L34" s="98"/>
      <c r="M34" s="126"/>
    </row>
    <row r="35" spans="1:13" ht="15.75" thickBot="1">
      <c r="A35" s="35" t="s">
        <v>8</v>
      </c>
      <c r="B35" s="12"/>
      <c r="C35" s="133" t="s">
        <v>179</v>
      </c>
      <c r="D35" s="135"/>
      <c r="E35" s="49"/>
      <c r="F35" s="78">
        <f>SUM(F33:F34)</f>
        <v>0</v>
      </c>
      <c r="G35" s="78">
        <f>SUM(G32:G34)</f>
        <v>0</v>
      </c>
      <c r="H35" s="13" t="s">
        <v>198</v>
      </c>
      <c r="I35" s="13"/>
    </row>
    <row r="36" spans="1:13" ht="15.75" thickBot="1">
      <c r="C36" s="139" t="s">
        <v>140</v>
      </c>
      <c r="D36" s="139"/>
      <c r="F36" s="44">
        <f>SUM(F9,F15,F22,F26,F31,F35)</f>
        <v>0.16800000000000001</v>
      </c>
      <c r="G36" s="44">
        <f>SUM(G9,G15,G22,G26,G31,G35)</f>
        <v>0.16266666666666665</v>
      </c>
    </row>
    <row r="37" spans="1:13">
      <c r="C37" s="140" t="s">
        <v>181</v>
      </c>
      <c r="D37" s="140"/>
      <c r="E37" s="14"/>
      <c r="F37" s="47">
        <v>20</v>
      </c>
      <c r="G37" s="42">
        <v>20</v>
      </c>
    </row>
    <row r="39" spans="1:13" customFormat="1" ht="32.25" customHeight="1">
      <c r="A39" s="131" t="s">
        <v>153</v>
      </c>
      <c r="B39" s="131"/>
      <c r="C39" s="132" t="s">
        <v>154</v>
      </c>
      <c r="D39" s="132"/>
      <c r="E39" s="132"/>
      <c r="F39" s="132"/>
      <c r="G39" s="132"/>
      <c r="H39" s="132"/>
      <c r="I39" s="132"/>
      <c r="J39" s="46"/>
      <c r="K39" s="46"/>
      <c r="M39" s="46"/>
    </row>
  </sheetData>
  <sheetProtection password="CE28" sheet="1" objects="1" scenarios="1" formatRows="0"/>
  <mergeCells count="28">
    <mergeCell ref="A39:B39"/>
    <mergeCell ref="C39:I39"/>
    <mergeCell ref="C35:D35"/>
    <mergeCell ref="C36:D36"/>
    <mergeCell ref="C37:D37"/>
    <mergeCell ref="J3:J8"/>
    <mergeCell ref="K3:K8"/>
    <mergeCell ref="J10:J14"/>
    <mergeCell ref="K10:K14"/>
    <mergeCell ref="J16:J21"/>
    <mergeCell ref="K16:K21"/>
    <mergeCell ref="M3:M8"/>
    <mergeCell ref="M10:M14"/>
    <mergeCell ref="M16:M21"/>
    <mergeCell ref="M23:M25"/>
    <mergeCell ref="M27:M30"/>
    <mergeCell ref="K32:K34"/>
    <mergeCell ref="M32:M34"/>
    <mergeCell ref="C9:D9"/>
    <mergeCell ref="C15:D15"/>
    <mergeCell ref="C22:D22"/>
    <mergeCell ref="C26:D26"/>
    <mergeCell ref="C31:D31"/>
    <mergeCell ref="J23:J25"/>
    <mergeCell ref="K23:K25"/>
    <mergeCell ref="J27:J30"/>
    <mergeCell ref="K27:K30"/>
    <mergeCell ref="J32:J34"/>
  </mergeCells>
  <dataValidations count="1">
    <dataValidation type="list" allowBlank="1" showInputMessage="1" showErrorMessage="1" sqref="C28:D30 C4:D8 C33:D34 C17:D21 C24:D25 C11:D14">
      <formula1>$L$4:$L$7</formula1>
    </dataValidation>
  </dataValidations>
  <pageMargins left="0.70866141732283472" right="0.51181102362204722" top="0.62343749999999998" bottom="0.74803149606299213" header="0.31496062992125984" footer="0.31496062992125984"/>
  <pageSetup paperSize="9" scale="95" firstPageNumber="6" orientation="landscape" useFirstPageNumber="1" r:id="rId1"/>
  <headerFooter>
    <oddHeader>&amp;COLAREX case page &amp;P</oddHeader>
    <oddFooter>&amp;LCopy right issues&amp;CThis product is released under Creative Common licence  
CC BY-NC-ND 3.0&amp;R&amp;G</oddFooter>
  </headerFooter>
  <rowBreaks count="2" manualBreakCount="2">
    <brk id="15" max="16383" man="1"/>
    <brk id="26" max="16383"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M1" sqref="M1:M1048576"/>
    </sheetView>
  </sheetViews>
  <sheetFormatPr defaultColWidth="34.5703125" defaultRowHeight="15"/>
  <cols>
    <col min="1" max="1" width="4.42578125" style="9" customWidth="1"/>
    <col min="2" max="2" width="35" style="8" customWidth="1"/>
    <col min="3" max="3" width="19.5703125" style="9" customWidth="1"/>
    <col min="4" max="4" width="18.140625" style="10" hidden="1" customWidth="1"/>
    <col min="5" max="5" width="0.28515625" style="10" hidden="1" customWidth="1"/>
    <col min="6" max="6" width="8.28515625" style="10" customWidth="1"/>
    <col min="7" max="7" width="8.5703125" style="10" hidden="1" customWidth="1"/>
    <col min="8" max="8" width="8.140625" style="9" customWidth="1"/>
    <col min="9" max="9" width="4" style="9" customWidth="1"/>
    <col min="10" max="10" width="37.42578125" style="9" customWidth="1"/>
    <col min="11" max="11" width="25.42578125" style="9" customWidth="1"/>
    <col min="12" max="12" width="0.140625" style="9" customWidth="1"/>
    <col min="13" max="13" width="29.7109375" style="9" hidden="1" customWidth="1"/>
    <col min="14" max="14" width="3" style="9" bestFit="1" customWidth="1"/>
    <col min="15" max="16384" width="34.5703125" style="9"/>
  </cols>
  <sheetData>
    <row r="1" spans="1:13" s="17" customFormat="1">
      <c r="A1" s="30" t="s">
        <v>125</v>
      </c>
      <c r="B1" s="16"/>
      <c r="D1" s="18"/>
      <c r="E1" s="18"/>
      <c r="F1" s="18"/>
      <c r="G1" s="18"/>
    </row>
    <row r="2" spans="1:13" ht="77.25" customHeight="1">
      <c r="A2" s="59" t="s">
        <v>75</v>
      </c>
      <c r="B2" s="60" t="s">
        <v>161</v>
      </c>
      <c r="C2" s="61" t="s">
        <v>118</v>
      </c>
      <c r="D2" s="62" t="s">
        <v>230</v>
      </c>
      <c r="E2" s="73" t="s">
        <v>9</v>
      </c>
      <c r="F2" s="73" t="s">
        <v>12</v>
      </c>
      <c r="G2" s="64" t="s">
        <v>156</v>
      </c>
      <c r="H2" s="65"/>
      <c r="I2" s="65"/>
      <c r="J2" s="66" t="s">
        <v>119</v>
      </c>
      <c r="K2" s="67" t="s">
        <v>191</v>
      </c>
      <c r="L2" s="65"/>
      <c r="M2" s="74" t="s">
        <v>176</v>
      </c>
    </row>
    <row r="3" spans="1:13" ht="20.25" customHeight="1">
      <c r="A3" s="58" t="s">
        <v>34</v>
      </c>
      <c r="B3" s="79" t="s">
        <v>79</v>
      </c>
      <c r="C3" s="65"/>
      <c r="D3" s="80"/>
      <c r="E3" s="80"/>
      <c r="F3" s="80"/>
      <c r="G3" s="47"/>
      <c r="I3" s="9" t="s">
        <v>34</v>
      </c>
      <c r="J3" s="127" t="s">
        <v>215</v>
      </c>
      <c r="K3" s="141"/>
      <c r="L3" s="81"/>
      <c r="M3" s="144" t="s">
        <v>244</v>
      </c>
    </row>
    <row r="4" spans="1:13" ht="39" customHeight="1">
      <c r="A4" s="35">
        <v>1</v>
      </c>
      <c r="B4" s="37" t="s">
        <v>80</v>
      </c>
      <c r="C4" s="95" t="s">
        <v>122</v>
      </c>
      <c r="D4" s="95" t="s">
        <v>123</v>
      </c>
      <c r="E4" s="32">
        <f>0.2*0.055</f>
        <v>1.1000000000000001E-2</v>
      </c>
      <c r="F4" s="52">
        <f>IF(C4="0 - not considered at all",0*$E4,IF(C4="1 -  planned, not implemented",$E4/3,IF(C4="2 - partially implemented",2*$E4/3,$E4)))</f>
        <v>3.666666666666667E-3</v>
      </c>
      <c r="G4" s="53">
        <f>IF(D4="0 - not considered at all",0*$E4,IF(D4="1 -  planned, not implemented",$E4/3,IF(D4="2 - partially implemented",2*$E4/3,$E4)))</f>
        <v>7.3333333333333341E-3</v>
      </c>
      <c r="J4" s="128"/>
      <c r="K4" s="142"/>
      <c r="L4" s="94" t="s">
        <v>121</v>
      </c>
      <c r="M4" s="145"/>
    </row>
    <row r="5" spans="1:13" ht="41.25" customHeight="1">
      <c r="A5" s="35">
        <v>2</v>
      </c>
      <c r="B5" s="37" t="s">
        <v>89</v>
      </c>
      <c r="C5" s="95" t="s">
        <v>124</v>
      </c>
      <c r="D5" s="95" t="s">
        <v>123</v>
      </c>
      <c r="E5" s="32">
        <f t="shared" ref="E5:E8" si="0">0.2*0.055</f>
        <v>1.1000000000000001E-2</v>
      </c>
      <c r="F5" s="52">
        <f t="shared" ref="F5:F8" si="1">IF(C5="0 - not considered at all",0*$E5,IF(C5="1 -  planned, not implemented",$E5/3,IF(C5="2 - partially implemented",2*$E5/3,$E5)))</f>
        <v>1.1000000000000001E-2</v>
      </c>
      <c r="G5" s="53">
        <f t="shared" ref="G5:G8" si="2">IF(D5="0 - not considered at all",0*$E5,IF(D5="1 -  planned, not implemented",$E5/3,IF(D5="2 - partially implemented",2*$E5/3,$E5)))</f>
        <v>7.3333333333333341E-3</v>
      </c>
      <c r="J5" s="128"/>
      <c r="K5" s="142"/>
      <c r="L5" s="94" t="s">
        <v>122</v>
      </c>
      <c r="M5" s="145"/>
    </row>
    <row r="6" spans="1:13" ht="30" customHeight="1">
      <c r="A6" s="35">
        <v>3</v>
      </c>
      <c r="B6" s="37" t="s">
        <v>85</v>
      </c>
      <c r="C6" s="95" t="s">
        <v>124</v>
      </c>
      <c r="D6" s="95" t="s">
        <v>123</v>
      </c>
      <c r="E6" s="32">
        <f t="shared" si="0"/>
        <v>1.1000000000000001E-2</v>
      </c>
      <c r="F6" s="52">
        <f t="shared" si="1"/>
        <v>1.1000000000000001E-2</v>
      </c>
      <c r="G6" s="53">
        <f t="shared" si="2"/>
        <v>7.3333333333333341E-3</v>
      </c>
      <c r="J6" s="128"/>
      <c r="K6" s="142"/>
      <c r="L6" s="94" t="s">
        <v>123</v>
      </c>
      <c r="M6" s="145"/>
    </row>
    <row r="7" spans="1:13" ht="38.25" customHeight="1">
      <c r="A7" s="35">
        <v>4</v>
      </c>
      <c r="B7" s="37" t="s">
        <v>90</v>
      </c>
      <c r="C7" s="95" t="s">
        <v>122</v>
      </c>
      <c r="D7" s="95" t="s">
        <v>121</v>
      </c>
      <c r="E7" s="32">
        <f t="shared" si="0"/>
        <v>1.1000000000000001E-2</v>
      </c>
      <c r="F7" s="52">
        <f t="shared" si="1"/>
        <v>3.666666666666667E-3</v>
      </c>
      <c r="G7" s="53">
        <f t="shared" si="2"/>
        <v>0</v>
      </c>
      <c r="J7" s="128"/>
      <c r="K7" s="142"/>
      <c r="L7" s="94" t="s">
        <v>124</v>
      </c>
      <c r="M7" s="145"/>
    </row>
    <row r="8" spans="1:13" ht="57.75" customHeight="1">
      <c r="A8" s="35">
        <v>5</v>
      </c>
      <c r="B8" s="38" t="s">
        <v>91</v>
      </c>
      <c r="C8" s="95" t="s">
        <v>124</v>
      </c>
      <c r="D8" s="95" t="s">
        <v>124</v>
      </c>
      <c r="E8" s="32">
        <f t="shared" si="0"/>
        <v>1.1000000000000001E-2</v>
      </c>
      <c r="F8" s="52">
        <f t="shared" si="1"/>
        <v>1.1000000000000001E-2</v>
      </c>
      <c r="G8" s="53">
        <f t="shared" si="2"/>
        <v>1.1000000000000001E-2</v>
      </c>
      <c r="J8" s="129"/>
      <c r="K8" s="143"/>
      <c r="L8" s="81"/>
      <c r="M8" s="146"/>
    </row>
    <row r="9" spans="1:13" ht="17.25" customHeight="1">
      <c r="A9" s="35" t="s">
        <v>8</v>
      </c>
      <c r="B9" s="12"/>
      <c r="C9" s="133" t="s">
        <v>185</v>
      </c>
      <c r="D9" s="134"/>
      <c r="E9" s="135"/>
      <c r="F9" s="78">
        <f>SUM(F4:F8)</f>
        <v>4.0333333333333339E-2</v>
      </c>
      <c r="G9" s="78">
        <f>SUM(G4:G8)</f>
        <v>3.3000000000000002E-2</v>
      </c>
      <c r="H9" s="68" t="s">
        <v>199</v>
      </c>
      <c r="I9" s="70"/>
      <c r="J9" s="81"/>
      <c r="K9" s="81"/>
      <c r="L9" s="81"/>
      <c r="M9" s="81"/>
    </row>
    <row r="10" spans="1:13">
      <c r="A10" s="34" t="s">
        <v>35</v>
      </c>
      <c r="B10" s="85" t="s">
        <v>81</v>
      </c>
      <c r="C10" s="65"/>
      <c r="D10" s="80"/>
      <c r="E10" s="80"/>
      <c r="F10" s="80"/>
      <c r="G10" s="47"/>
      <c r="I10" s="9" t="s">
        <v>35</v>
      </c>
      <c r="J10" s="136" t="s">
        <v>216</v>
      </c>
      <c r="K10" s="126"/>
      <c r="L10" s="98"/>
      <c r="M10" s="126" t="s">
        <v>241</v>
      </c>
    </row>
    <row r="11" spans="1:13">
      <c r="A11" s="35">
        <v>1</v>
      </c>
      <c r="B11" s="37" t="s">
        <v>92</v>
      </c>
      <c r="C11" s="95" t="s">
        <v>124</v>
      </c>
      <c r="D11" s="95" t="s">
        <v>124</v>
      </c>
      <c r="E11" s="11">
        <f>0.25*0.055</f>
        <v>1.375E-2</v>
      </c>
      <c r="F11" s="52">
        <f t="shared" ref="F11:G13" si="3">IF(C11="0 - not considered at all",0*$E11,IF(C11="1 -  planned, not implemented",$E11/3,IF(C11="2 - partially implemented",2*$E11/3,$E11)))</f>
        <v>1.375E-2</v>
      </c>
      <c r="G11" s="53">
        <f t="shared" si="3"/>
        <v>1.375E-2</v>
      </c>
      <c r="J11" s="137"/>
      <c r="K11" s="126"/>
      <c r="L11" s="98"/>
      <c r="M11" s="126"/>
    </row>
    <row r="12" spans="1:13">
      <c r="A12" s="35">
        <v>2</v>
      </c>
      <c r="B12" s="37" t="s">
        <v>95</v>
      </c>
      <c r="C12" s="95" t="s">
        <v>124</v>
      </c>
      <c r="D12" s="95" t="s">
        <v>124</v>
      </c>
      <c r="E12" s="75">
        <f>0.25*0.055</f>
        <v>1.375E-2</v>
      </c>
      <c r="F12" s="52">
        <f t="shared" si="3"/>
        <v>1.375E-2</v>
      </c>
      <c r="G12" s="53">
        <f t="shared" si="3"/>
        <v>1.375E-2</v>
      </c>
      <c r="J12" s="137"/>
      <c r="K12" s="126"/>
      <c r="L12" s="98"/>
      <c r="M12" s="126"/>
    </row>
    <row r="13" spans="1:13" ht="33.75" customHeight="1">
      <c r="A13" s="35">
        <v>3</v>
      </c>
      <c r="B13" s="37" t="s">
        <v>115</v>
      </c>
      <c r="C13" s="95" t="s">
        <v>124</v>
      </c>
      <c r="D13" s="95" t="s">
        <v>124</v>
      </c>
      <c r="E13" s="11">
        <f>0.5*0.055</f>
        <v>2.75E-2</v>
      </c>
      <c r="F13" s="52">
        <f t="shared" si="3"/>
        <v>2.75E-2</v>
      </c>
      <c r="G13" s="53">
        <f t="shared" si="3"/>
        <v>2.75E-2</v>
      </c>
      <c r="J13" s="138"/>
      <c r="K13" s="126"/>
      <c r="L13" s="98"/>
      <c r="M13" s="126"/>
    </row>
    <row r="14" spans="1:13">
      <c r="A14" s="35" t="s">
        <v>8</v>
      </c>
      <c r="B14" s="12"/>
      <c r="C14" s="133" t="s">
        <v>186</v>
      </c>
      <c r="D14" s="134"/>
      <c r="E14" s="135"/>
      <c r="F14" s="78">
        <f>SUM(F11:F13)</f>
        <v>5.5E-2</v>
      </c>
      <c r="G14" s="78">
        <f>SUM(G11:G13)</f>
        <v>5.5E-2</v>
      </c>
      <c r="H14" s="68" t="s">
        <v>199</v>
      </c>
      <c r="I14" s="70"/>
      <c r="J14" s="81"/>
      <c r="K14" s="99"/>
      <c r="L14" s="99"/>
      <c r="M14" s="99"/>
    </row>
    <row r="15" spans="1:13">
      <c r="A15" s="34" t="s">
        <v>117</v>
      </c>
      <c r="B15" s="91" t="s">
        <v>83</v>
      </c>
      <c r="C15" s="65"/>
      <c r="D15" s="80"/>
      <c r="E15" s="80"/>
      <c r="F15" s="80"/>
      <c r="G15" s="47"/>
      <c r="I15" s="9" t="s">
        <v>117</v>
      </c>
      <c r="J15" s="136" t="s">
        <v>217</v>
      </c>
      <c r="K15" s="126" t="s">
        <v>139</v>
      </c>
      <c r="L15" s="98"/>
      <c r="M15" s="126" t="s">
        <v>241</v>
      </c>
    </row>
    <row r="16" spans="1:13" ht="25.5">
      <c r="A16" s="35">
        <v>1</v>
      </c>
      <c r="B16" s="37" t="s">
        <v>93</v>
      </c>
      <c r="C16" s="95" t="s">
        <v>121</v>
      </c>
      <c r="D16" s="95" t="s">
        <v>121</v>
      </c>
      <c r="E16" s="11">
        <f>0.25*0.055</f>
        <v>1.375E-2</v>
      </c>
      <c r="F16" s="52">
        <f t="shared" ref="F16:G19" si="4">IF(C16="0 - not considered at all",0*$E16,IF(C16="1 -  planned, not implemented",$E16/3,IF(C16="2 - partially implemented",2*$E16/3,$E16)))</f>
        <v>0</v>
      </c>
      <c r="G16" s="53">
        <f t="shared" si="4"/>
        <v>0</v>
      </c>
      <c r="J16" s="137"/>
      <c r="K16" s="126"/>
      <c r="L16" s="98"/>
      <c r="M16" s="126"/>
    </row>
    <row r="17" spans="1:13" ht="25.5">
      <c r="A17" s="35">
        <v>2</v>
      </c>
      <c r="B17" s="37" t="s">
        <v>86</v>
      </c>
      <c r="C17" s="95" t="s">
        <v>123</v>
      </c>
      <c r="D17" s="95" t="s">
        <v>123</v>
      </c>
      <c r="E17" s="75">
        <f t="shared" ref="E17:E19" si="5">0.25*0.055</f>
        <v>1.375E-2</v>
      </c>
      <c r="F17" s="52">
        <f t="shared" si="4"/>
        <v>9.1666666666666667E-3</v>
      </c>
      <c r="G17" s="53">
        <f t="shared" si="4"/>
        <v>9.1666666666666667E-3</v>
      </c>
      <c r="J17" s="137"/>
      <c r="K17" s="126"/>
      <c r="L17" s="98"/>
      <c r="M17" s="126"/>
    </row>
    <row r="18" spans="1:13">
      <c r="A18" s="35">
        <v>3</v>
      </c>
      <c r="B18" s="37" t="s">
        <v>87</v>
      </c>
      <c r="C18" s="95" t="s">
        <v>124</v>
      </c>
      <c r="D18" s="95" t="s">
        <v>124</v>
      </c>
      <c r="E18" s="75">
        <f t="shared" si="5"/>
        <v>1.375E-2</v>
      </c>
      <c r="F18" s="52">
        <f t="shared" si="4"/>
        <v>1.375E-2</v>
      </c>
      <c r="G18" s="53">
        <f t="shared" si="4"/>
        <v>1.375E-2</v>
      </c>
      <c r="J18" s="137"/>
      <c r="K18" s="126"/>
      <c r="L18" s="98"/>
      <c r="M18" s="126"/>
    </row>
    <row r="19" spans="1:13" ht="48.75" customHeight="1">
      <c r="A19" s="35">
        <v>4</v>
      </c>
      <c r="B19" s="38" t="s">
        <v>114</v>
      </c>
      <c r="C19" s="95" t="s">
        <v>124</v>
      </c>
      <c r="D19" s="95" t="s">
        <v>124</v>
      </c>
      <c r="E19" s="75">
        <f t="shared" si="5"/>
        <v>1.375E-2</v>
      </c>
      <c r="F19" s="52">
        <f t="shared" si="4"/>
        <v>1.375E-2</v>
      </c>
      <c r="G19" s="53">
        <f t="shared" si="4"/>
        <v>1.375E-2</v>
      </c>
      <c r="J19" s="138"/>
      <c r="K19" s="126"/>
      <c r="L19" s="98"/>
      <c r="M19" s="126"/>
    </row>
    <row r="20" spans="1:13">
      <c r="A20" s="35" t="s">
        <v>8</v>
      </c>
      <c r="B20" s="12"/>
      <c r="C20" s="133" t="s">
        <v>187</v>
      </c>
      <c r="D20" s="134"/>
      <c r="E20" s="135"/>
      <c r="F20" s="78">
        <f>SUM(F16:F19)</f>
        <v>3.6666666666666667E-2</v>
      </c>
      <c r="G20" s="78">
        <f>SUM(G16:G19)</f>
        <v>3.6666666666666667E-2</v>
      </c>
      <c r="H20" s="68" t="s">
        <v>199</v>
      </c>
      <c r="I20" s="70"/>
      <c r="J20" s="81"/>
      <c r="K20" s="99"/>
      <c r="L20" s="99"/>
      <c r="M20" s="99"/>
    </row>
    <row r="21" spans="1:13">
      <c r="A21" s="34" t="s">
        <v>82</v>
      </c>
      <c r="B21" s="85" t="s">
        <v>84</v>
      </c>
      <c r="C21" s="65"/>
      <c r="D21" s="80"/>
      <c r="E21" s="80"/>
      <c r="F21" s="80"/>
      <c r="G21" s="47"/>
      <c r="I21" s="9" t="s">
        <v>82</v>
      </c>
      <c r="J21" s="136" t="s">
        <v>218</v>
      </c>
      <c r="K21" s="126"/>
      <c r="L21" s="98"/>
      <c r="M21" s="126" t="s">
        <v>241</v>
      </c>
    </row>
    <row r="22" spans="1:13" ht="24.75" customHeight="1">
      <c r="A22" s="35">
        <v>1</v>
      </c>
      <c r="B22" s="37" t="s">
        <v>88</v>
      </c>
      <c r="C22" s="95" t="s">
        <v>124</v>
      </c>
      <c r="D22" s="95" t="s">
        <v>124</v>
      </c>
      <c r="E22" s="11">
        <v>3.5000000000000003E-2</v>
      </c>
      <c r="F22" s="52">
        <f>IF(C22="0 - not considered at all",0*$E22,IF(C22="1 -  planned, not implemented",$E22/3,IF(C22="2 - partially implemented",2*$E22/3,$E22)))</f>
        <v>3.5000000000000003E-2</v>
      </c>
      <c r="G22" s="53">
        <f t="shared" ref="G22" si="6">IF(D22="0 - not considered at all",0*$E22,IF(D22="1 -  planned, not implemented",$E22/3,IF(D22="2 - partially implemented",2*$E22/3,$E22)))</f>
        <v>3.5000000000000003E-2</v>
      </c>
      <c r="J22" s="138"/>
      <c r="K22" s="126"/>
      <c r="L22" s="98"/>
      <c r="M22" s="126"/>
    </row>
    <row r="23" spans="1:13" ht="15.75" thickBot="1">
      <c r="A23" s="35" t="s">
        <v>8</v>
      </c>
      <c r="B23" s="12"/>
      <c r="C23" s="133" t="s">
        <v>188</v>
      </c>
      <c r="D23" s="134"/>
      <c r="E23" s="135"/>
      <c r="F23" s="78">
        <f>SUM(F22:F22)</f>
        <v>3.5000000000000003E-2</v>
      </c>
      <c r="G23" s="78">
        <f>SUM(G22)</f>
        <v>3.5000000000000003E-2</v>
      </c>
      <c r="H23" s="68" t="s">
        <v>200</v>
      </c>
      <c r="I23" s="70"/>
    </row>
    <row r="24" spans="1:13" ht="15.75" thickBot="1">
      <c r="D24" s="40" t="s">
        <v>180</v>
      </c>
      <c r="F24" s="77">
        <f>SUM(F9,F14,F20,F23)</f>
        <v>0.16700000000000001</v>
      </c>
      <c r="G24" s="77">
        <f>SUM(G9,G14,G20,G23)</f>
        <v>0.15966666666666668</v>
      </c>
    </row>
    <row r="25" spans="1:13">
      <c r="D25" s="41" t="s">
        <v>181</v>
      </c>
      <c r="E25" s="14"/>
      <c r="F25" s="47">
        <v>20</v>
      </c>
      <c r="G25" s="90">
        <v>20</v>
      </c>
    </row>
    <row r="27" spans="1:13" customFormat="1" ht="32.25" customHeight="1">
      <c r="A27" s="131" t="s">
        <v>153</v>
      </c>
      <c r="B27" s="131"/>
      <c r="C27" s="132" t="s">
        <v>154</v>
      </c>
      <c r="D27" s="132"/>
      <c r="E27" s="132"/>
      <c r="F27" s="132"/>
      <c r="G27" s="132"/>
      <c r="H27" s="132"/>
      <c r="I27" s="132"/>
      <c r="J27" s="46"/>
      <c r="K27" s="46"/>
    </row>
  </sheetData>
  <sheetProtection password="CE28"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dataValidations count="1">
    <dataValidation type="list" allowBlank="1" showInputMessage="1" showErrorMessage="1" sqref="C22:D22 C16:D19 C11:D13 C4:D8">
      <formula1>$L$4:$L$7</formula1>
    </dataValidation>
  </dataValidations>
  <pageMargins left="0.51181102362204722" right="0.31496062992125984" top="0.60364583333333333" bottom="0.74803149606299213" header="0.31496062992125984" footer="0.31496062992125984"/>
  <pageSetup paperSize="9" scale="95" firstPageNumber="9" orientation="landscape" useFirstPageNumber="1" r:id="rId1"/>
  <headerFooter>
    <oddHeader>&amp;COLAREX case page &amp;P</oddHeader>
    <oddFooter>&amp;LCopy right issues&amp;CThis product is released under Creative Common licence  
CC BY-NC-ND 3.0&amp;R&amp;G</oddFooter>
  </headerFooter>
  <rowBreaks count="1" manualBreakCount="1">
    <brk id="14" max="16383"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2014-02-17T07:19:04Z</dcterms:created>
  <dcterms:modified xsi:type="dcterms:W3CDTF">2014-04-24T12:18:37Z</dcterms:modified>
</cp:coreProperties>
</file>