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17520" windowHeight="9072" tabRatio="794"/>
  </bookViews>
  <sheets>
    <sheet name="Vertinimo kriterijai" sheetId="1" r:id="rId1"/>
    <sheet name="A - Didaktiniai kriterijai" sheetId="8" r:id="rId2"/>
    <sheet name="B - Informacinės technologijos" sheetId="4" r:id="rId3"/>
    <sheet name="C - Struktūra ir dizainas" sheetId="10" r:id="rId4"/>
    <sheet name="D - Mokymosi organizavimas" sheetId="11" r:id="rId5"/>
  </sheets>
  <definedNames>
    <definedName name="_xlnm.Print_Area" localSheetId="1">'A - Didaktiniai kriterijai'!$A$1:$L$44</definedName>
    <definedName name="_xlnm.Print_Area" localSheetId="2">'B - Informacinės technologijos'!$A$1:$M$32</definedName>
    <definedName name="_xlnm.Print_Area" localSheetId="3">'C - Struktūra ir dizainas'!$A$1:$M$37</definedName>
    <definedName name="_xlnm.Print_Area" localSheetId="4">'D - Mokymosi organizavimas'!$A$1:$M$25</definedName>
    <definedName name="_xlnm.Print_Titles" localSheetId="1">'A - Didaktiniai kriterijai'!$1:$2</definedName>
    <definedName name="_xlnm.Print_Titles" localSheetId="2">'B - Informacinės technologijos'!$1:$2</definedName>
    <definedName name="_xlnm.Print_Titles" localSheetId="3">'C - Struktūra ir dizainas'!$1:$2</definedName>
    <definedName name="_xlnm.Print_Titles" localSheetId="4">'D - Mokymosi organizavimas'!$1:$2</definedName>
  </definedNames>
  <calcPr calcId="125725"/>
</workbook>
</file>

<file path=xl/calcChain.xml><?xml version="1.0" encoding="utf-8"?>
<calcChain xmlns="http://schemas.openxmlformats.org/spreadsheetml/2006/main">
  <c r="E22" i="11"/>
  <c r="E19"/>
  <c r="E18"/>
  <c r="E17"/>
  <c r="E16"/>
  <c r="E13"/>
  <c r="E12"/>
  <c r="E11"/>
  <c r="G22" l="1"/>
  <c r="G19"/>
  <c r="G18"/>
  <c r="F18"/>
  <c r="G17"/>
  <c r="F17"/>
  <c r="F16"/>
  <c r="F13"/>
  <c r="G12"/>
  <c r="G11"/>
  <c r="E8"/>
  <c r="G8" s="1"/>
  <c r="E7"/>
  <c r="F7" s="1"/>
  <c r="E6"/>
  <c r="G6" s="1"/>
  <c r="E5"/>
  <c r="G5" s="1"/>
  <c r="G24" i="4"/>
  <c r="E24"/>
  <c r="F24" s="1"/>
  <c r="E25"/>
  <c r="G25" s="1"/>
  <c r="G13" i="8"/>
  <c r="G12"/>
  <c r="E9"/>
  <c r="G9" s="1"/>
  <c r="E10"/>
  <c r="G10" s="1"/>
  <c r="E11"/>
  <c r="G11" s="1"/>
  <c r="E12"/>
  <c r="E13"/>
  <c r="E14"/>
  <c r="G14" s="1"/>
  <c r="F25" i="4" l="1"/>
  <c r="G13" i="11"/>
  <c r="F6"/>
  <c r="F12"/>
  <c r="G7"/>
  <c r="F8"/>
  <c r="F22"/>
  <c r="G16"/>
  <c r="F19"/>
  <c r="F11"/>
  <c r="F5"/>
  <c r="F14" i="8" l="1"/>
  <c r="F13"/>
  <c r="F12"/>
  <c r="F11"/>
  <c r="F10"/>
  <c r="F9"/>
  <c r="F23" i="11" l="1"/>
  <c r="G23"/>
  <c r="E4"/>
  <c r="E34" i="10"/>
  <c r="E33"/>
  <c r="E29" i="4"/>
  <c r="E28"/>
  <c r="E21"/>
  <c r="E20"/>
  <c r="E17"/>
  <c r="E16"/>
  <c r="E15"/>
  <c r="F17" l="1"/>
  <c r="G17"/>
  <c r="G29"/>
  <c r="F29"/>
  <c r="F20"/>
  <c r="G20"/>
  <c r="G33" i="10"/>
  <c r="G35" s="1"/>
  <c r="F33"/>
  <c r="G15" i="4"/>
  <c r="F15"/>
  <c r="G21"/>
  <c r="F21"/>
  <c r="G34" i="10"/>
  <c r="F34"/>
  <c r="F16" i="4"/>
  <c r="G16"/>
  <c r="F28"/>
  <c r="G28"/>
  <c r="F4" i="11"/>
  <c r="G4"/>
  <c r="F20"/>
  <c r="G20"/>
  <c r="F14"/>
  <c r="G14"/>
  <c r="G9"/>
  <c r="F9"/>
  <c r="E12" i="4"/>
  <c r="E11"/>
  <c r="E10"/>
  <c r="E9"/>
  <c r="E6"/>
  <c r="E5"/>
  <c r="E4"/>
  <c r="E39" i="8"/>
  <c r="E40"/>
  <c r="E41"/>
  <c r="E42"/>
  <c r="E35"/>
  <c r="E34"/>
  <c r="E36"/>
  <c r="E33"/>
  <c r="E32"/>
  <c r="E29"/>
  <c r="E28"/>
  <c r="E27"/>
  <c r="E24"/>
  <c r="E23"/>
  <c r="E22"/>
  <c r="E19"/>
  <c r="E20"/>
  <c r="E21"/>
  <c r="E18"/>
  <c r="E17"/>
  <c r="G17" l="1"/>
  <c r="F17"/>
  <c r="F27"/>
  <c r="G27"/>
  <c r="G33"/>
  <c r="F33"/>
  <c r="F42"/>
  <c r="G42"/>
  <c r="F10" i="4"/>
  <c r="G10"/>
  <c r="G18" i="8"/>
  <c r="F18"/>
  <c r="G22"/>
  <c r="F22"/>
  <c r="F28"/>
  <c r="G28"/>
  <c r="G36"/>
  <c r="F36"/>
  <c r="G41"/>
  <c r="F41"/>
  <c r="F11" i="4"/>
  <c r="G11"/>
  <c r="G21" i="8"/>
  <c r="F21"/>
  <c r="G23"/>
  <c r="F23"/>
  <c r="F29"/>
  <c r="G29"/>
  <c r="F34"/>
  <c r="G34"/>
  <c r="G40"/>
  <c r="F40"/>
  <c r="F6" i="4"/>
  <c r="G6"/>
  <c r="F12"/>
  <c r="G12"/>
  <c r="G20" i="8"/>
  <c r="F20"/>
  <c r="G24"/>
  <c r="F24"/>
  <c r="F32"/>
  <c r="G32"/>
  <c r="G37" s="1"/>
  <c r="F35"/>
  <c r="G35"/>
  <c r="G39"/>
  <c r="F39"/>
  <c r="G9" i="4"/>
  <c r="G13" s="1"/>
  <c r="F9"/>
  <c r="G19" i="8"/>
  <c r="F19"/>
  <c r="F4" i="4"/>
  <c r="G4"/>
  <c r="F5"/>
  <c r="G5"/>
  <c r="G7" s="1"/>
  <c r="F22"/>
  <c r="F26"/>
  <c r="F30"/>
  <c r="G30" i="8"/>
  <c r="G26" i="4"/>
  <c r="F24" i="11"/>
  <c r="G24"/>
  <c r="J29" i="1" s="1"/>
  <c r="G30" i="4"/>
  <c r="G22"/>
  <c r="G18"/>
  <c r="F18"/>
  <c r="G15" i="8"/>
  <c r="F15"/>
  <c r="F37" l="1"/>
  <c r="G25"/>
  <c r="F30"/>
  <c r="F25"/>
  <c r="G43"/>
  <c r="F13" i="4"/>
  <c r="G31"/>
  <c r="J27" i="1" s="1"/>
  <c r="F7" i="4"/>
  <c r="E30" i="10"/>
  <c r="E29"/>
  <c r="E28"/>
  <c r="E25"/>
  <c r="E24"/>
  <c r="E21"/>
  <c r="E20"/>
  <c r="E19"/>
  <c r="E18"/>
  <c r="E17"/>
  <c r="E14"/>
  <c r="E13"/>
  <c r="E12"/>
  <c r="E11"/>
  <c r="G11" l="1"/>
  <c r="F11"/>
  <c r="G17"/>
  <c r="F17"/>
  <c r="G21"/>
  <c r="F21"/>
  <c r="G29"/>
  <c r="F29"/>
  <c r="G12"/>
  <c r="F12"/>
  <c r="G18"/>
  <c r="F18"/>
  <c r="G24"/>
  <c r="F24"/>
  <c r="G30"/>
  <c r="F30"/>
  <c r="G13"/>
  <c r="F13"/>
  <c r="G19"/>
  <c r="F19"/>
  <c r="G25"/>
  <c r="G26" s="1"/>
  <c r="F25"/>
  <c r="G14"/>
  <c r="F14"/>
  <c r="G20"/>
  <c r="F20"/>
  <c r="G28"/>
  <c r="G31" s="1"/>
  <c r="F28"/>
  <c r="G15" l="1"/>
  <c r="G22"/>
  <c r="F31"/>
  <c r="F26"/>
  <c r="F22"/>
  <c r="E8"/>
  <c r="E7"/>
  <c r="E6"/>
  <c r="E5"/>
  <c r="E4"/>
  <c r="F5" l="1"/>
  <c r="G5"/>
  <c r="F6"/>
  <c r="G6"/>
  <c r="F7"/>
  <c r="G7"/>
  <c r="G4"/>
  <c r="F4"/>
  <c r="F8"/>
  <c r="G8"/>
  <c r="E9"/>
  <c r="E6" i="8"/>
  <c r="E5"/>
  <c r="E4"/>
  <c r="G9" i="10" l="1"/>
  <c r="G5" i="8"/>
  <c r="F5"/>
  <c r="G6"/>
  <c r="F6"/>
  <c r="F4"/>
  <c r="G4"/>
  <c r="F9" i="10"/>
  <c r="F35"/>
  <c r="F15"/>
  <c r="G7" i="8" l="1"/>
  <c r="F7"/>
  <c r="F43" l="1"/>
  <c r="G44" l="1"/>
  <c r="J26" i="1" s="1"/>
  <c r="F44" i="8"/>
  <c r="J22" i="1"/>
  <c r="F31" i="4" l="1"/>
  <c r="J20" i="1" s="1"/>
  <c r="J19"/>
  <c r="F36" i="10" l="1"/>
  <c r="J21" i="1" s="1"/>
  <c r="J17" s="1"/>
  <c r="G36" i="10" l="1"/>
  <c r="J28" i="1" s="1"/>
  <c r="J24" s="1"/>
</calcChain>
</file>

<file path=xl/comments1.xml><?xml version="1.0" encoding="utf-8"?>
<comments xmlns="http://schemas.openxmlformats.org/spreadsheetml/2006/main">
  <authors>
    <author>Windows User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Windows User</author>
  </authors>
  <commentLis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<sst xmlns="http://schemas.openxmlformats.org/spreadsheetml/2006/main" count="533" uniqueCount="251">
  <si>
    <t>A1</t>
  </si>
  <si>
    <t>A2</t>
  </si>
  <si>
    <t>A3</t>
  </si>
  <si>
    <t>A4</t>
  </si>
  <si>
    <t>A5</t>
  </si>
  <si>
    <t>n</t>
  </si>
  <si>
    <t>Weight</t>
  </si>
  <si>
    <t>B1</t>
  </si>
  <si>
    <t>B2</t>
  </si>
  <si>
    <t>B3</t>
  </si>
  <si>
    <t>B4</t>
  </si>
  <si>
    <t>B5</t>
  </si>
  <si>
    <t>B6</t>
  </si>
  <si>
    <t>C1</t>
  </si>
  <si>
    <t>C2</t>
  </si>
  <si>
    <t>C4</t>
  </si>
  <si>
    <t>C5</t>
  </si>
  <si>
    <t>D1</t>
  </si>
  <si>
    <t>D2</t>
  </si>
  <si>
    <t>A6</t>
  </si>
  <si>
    <t>C6</t>
  </si>
  <si>
    <t xml:space="preserve">  </t>
  </si>
  <si>
    <t>D4</t>
  </si>
  <si>
    <t>C3</t>
  </si>
  <si>
    <t>D3</t>
  </si>
  <si>
    <t>0 - not considered at all</t>
  </si>
  <si>
    <t>1 -  planned, not implemented</t>
  </si>
  <si>
    <t>2 - partially implemented</t>
  </si>
  <si>
    <t>3 - fully implemented</t>
  </si>
  <si>
    <t xml:space="preserve"> </t>
  </si>
  <si>
    <t>Airina Volungevičienė, Estela Daukšienė, Margarita Poškutė, Dalia Baziukė</t>
  </si>
  <si>
    <t>Šis produktas yra priskirtas kūrybinių bendrijų licencijai  
CC BY-NC-ND 3.0</t>
  </si>
  <si>
    <t xml:space="preserve">Kokybės kriterijų panaudojimo procesas </t>
  </si>
  <si>
    <t>Minimalūs rekalavimai atestacijai</t>
  </si>
  <si>
    <t>A.  DIDAKTINĖ DALIS</t>
  </si>
  <si>
    <t>B. INFORMACINĖS TECHNOLOGIJOS</t>
  </si>
  <si>
    <t>C.BENDRA STURKTŪRA, KALBA, DIZAINAS</t>
  </si>
  <si>
    <t xml:space="preserve">D.MOKYMOSI ORGANIZAVIMAS IR INTERAKTYVUMAS </t>
  </si>
  <si>
    <t>daugiausiai 30</t>
  </si>
  <si>
    <t>daugiausiai  30</t>
  </si>
  <si>
    <t>daugiausiai  20</t>
  </si>
  <si>
    <t>KRITERIJŲ GRUPĖ A. DIDAKTINIAI/ PEDAGOGINIAI KRITERIJAI (A1 - A6)</t>
  </si>
  <si>
    <t>Mokymosi tikslai suformuluoti taip, jog galima įvertinti jų pasiekiamumą, ir yra pateikti besimokantiesiems.</t>
  </si>
  <si>
    <t>Mokymosi tikslų ir mokymosi siekinių formuluotės yra grįstos kompetencijomis.</t>
  </si>
  <si>
    <t>Mokymosi tikslai pateikiami besimokantiesiems sąsajoje su mokymosi uduotimis, metodais, ištekliais ir mokymosi rezultatais.</t>
  </si>
  <si>
    <t>Naudojamų mokymosi metodų įvairovė</t>
  </si>
  <si>
    <t>Mokymosi metodų nuoseklumas su mokymosi tikslais aiškiai pateiktas mokymo turinyje.</t>
  </si>
  <si>
    <t>Mokymo turinyje naudojama mokymo metodų įvairovė.</t>
  </si>
  <si>
    <t>Mokymosi metodų įvairovė leidžia ir aktyvų, ir pasyvų mokymąsi.</t>
  </si>
  <si>
    <t>Mokymosi metodų įvairovė leidžia realizuoti ir individualų, ir grupinį dabą.</t>
  </si>
  <si>
    <t>Naudojami mokymosi metodai ugdo kūrybišnkumo ir kritinio mąstymo įgūdžius</t>
  </si>
  <si>
    <t>Mokymosi metodų įvairovė leidžia realizuoti mokymosi diferencijavimą (pvz., diferencijuoti užduotis ir išteklius)</t>
  </si>
  <si>
    <t>Aiškiai pateikta vertinimo strategija</t>
  </si>
  <si>
    <t>Dalyko/ programos apraše aiškiai pateikta vertinio strategija.</t>
  </si>
  <si>
    <t>Vertinimo kriterijai aiškiai pamatuojami ir suprantami (pateiktas kriterijų svoris bendroje vertinimo sistemoje).</t>
  </si>
  <si>
    <t>Besimokantieji turi galimybę aptarti vertinimo strategiją ir pasiūlyti jos tobulinimą.</t>
  </si>
  <si>
    <t>Naudojamos savitikros priemonės.</t>
  </si>
  <si>
    <t>Naudojamas grįžtamasis ryšys ir organizuojamas mokymosi rezultatų aptarimas.</t>
  </si>
  <si>
    <t>Naudojama "portfolio" sistema ir/arba atliktos užduotys gali būti eksportuotos, pasibaigus mokymosi procesui.</t>
  </si>
  <si>
    <t>Mokymosi rezultatų vertinimui naudojamos įvairios vertinimo strategijos, įrankiai ir užduotys.</t>
  </si>
  <si>
    <t>Viso A1:</t>
  </si>
  <si>
    <t>Viso A2:</t>
  </si>
  <si>
    <t>Viso A3:</t>
  </si>
  <si>
    <t>Viso A4:</t>
  </si>
  <si>
    <t>Viso A5:</t>
  </si>
  <si>
    <t>Daugiausiai A grupėje</t>
  </si>
  <si>
    <t>Mokymo turinyje naudojami atviri švietimo ištekliai (Open Educational Resources), o besimokantieji yra skatinami jos naudoti.</t>
  </si>
  <si>
    <t>Mokymo turinyje yra naudojami atviri švietimo ištekliai (open educational resources) daugialypės terpės formatais.</t>
  </si>
  <si>
    <t>Besimokantieji yra skatinami ieškoti, naudoti atvirų švietimo išteklių, gerbiant jų panaudos teises.</t>
  </si>
  <si>
    <t>Mokymo turinyje yra aiškiai nurodytos  autorinės ir panaudos teisės.</t>
  </si>
  <si>
    <t>Užduoties aprašas yra aiškus ir tikslus</t>
  </si>
  <si>
    <t xml:space="preserve">Mokymosi tikslai atitinka mokymosi rezultatus ir yra pateikti kiekvienos užduoties apraše. </t>
  </si>
  <si>
    <t>Užduoties apraše pateikti žingsniai, reikalingi atlikti užduočiai.</t>
  </si>
  <si>
    <t>Kiekvienos užduoties apraše pateikti užduoties vertinimo kriterijai.</t>
  </si>
  <si>
    <t>Užduoties apraše pateiktas užduoties rezultato aprašas ir atlikimo laikotarpis.</t>
  </si>
  <si>
    <t>Užduotys yra susiję su profesine veikla ir mokymosi rezultatų taikymu praktikoje.</t>
  </si>
  <si>
    <t>Užduočių atlikimo metu ugdomi besimokančiųjų praktiniai įgūdžiai ir jie yra skatinami taikyti mokymosi rezultatus gyvenimiškose situacijose.</t>
  </si>
  <si>
    <t xml:space="preserve">Mokymosi metu organizuojamos konsultacijos ir/arba interviu/ ir/arba (virtualūs) susitikimai su darbdaviais ar verslo atstovais. </t>
  </si>
  <si>
    <t>Praktinės užduotys yra susiję su gyvenimiškomis situacijoms, yra skatinančios tyrinėti, rinkti ir analizuoti informaciją iį darbdavių ir įmonių darbuotojų.</t>
  </si>
  <si>
    <t>KRITERIJŲ GRUPĖ B. INFORMACINĖS TECHNOLOGIJOS (B1 - B6)</t>
  </si>
  <si>
    <t>0 - netaikoma</t>
  </si>
  <si>
    <t>1 -  planuota, bet neįgyvendinta</t>
  </si>
  <si>
    <t>2 - dalinai įgyvendinta</t>
  </si>
  <si>
    <t>3 - pilnai įgyvendinta</t>
  </si>
  <si>
    <t>Navigacija ir išorinės nuorodos</t>
  </si>
  <si>
    <t>Bendra navigacijos struktūra kurse yra aiški</t>
  </si>
  <si>
    <t>Nuorodos ir išoriniai ištekliai tinkamai pateikti ir veikia</t>
  </si>
  <si>
    <t>Tinkamai parinkti/ sukurti dizaino elementai</t>
  </si>
  <si>
    <t>Viso B1:</t>
  </si>
  <si>
    <t>Viso B2:</t>
  </si>
  <si>
    <t>Viso B3:</t>
  </si>
  <si>
    <t>Viso B4:</t>
  </si>
  <si>
    <t>Viso B5:</t>
  </si>
  <si>
    <t>Viso B6:</t>
  </si>
  <si>
    <t>Viso B grupėje:</t>
  </si>
  <si>
    <t>Daugiausiai B grupėje</t>
  </si>
  <si>
    <t>Leidybos (publishing) įrankiai</t>
  </si>
  <si>
    <t>Medžiaga skaitymui pateikta vartotojui draugišku formatu naršyklėje, nereikalaujant specialios programinės įrangos įdiegimo kliento kompiuteryje.</t>
  </si>
  <si>
    <t>Mokymosi veiklos realizuotos naudojant standartinius virtualios mokymosi aplinkos įrankius</t>
  </si>
  <si>
    <t>Medžiaga pateikta skaitymui internete. Medžiagos kiekis nėra didesnis nei du - trys ekrano dydžio puslapiai.</t>
  </si>
  <si>
    <t>Medžiagą galima parsisiųsti</t>
  </si>
  <si>
    <t>Naudojamas grupinis darbas ir aktyvaus mokymosi įrankiai</t>
  </si>
  <si>
    <t xml:space="preserve">Diskusijos, projektai, atvejo analizės ir kitos veiklos yra įgyvendinamos naudojantis diskusijų įrankiais, žurnalais, wiki, blogais ir kt. </t>
  </si>
  <si>
    <t>Kiekvienas dalyvis turi savo profilį ir dalyvauja veiklose prisijungus savo vartotojo vardu.</t>
  </si>
  <si>
    <t>Vertinimo, savitikros ir užduočių įrankiai</t>
  </si>
  <si>
    <t>Vertinimo įrankiai yra integruoti virtualaus mokymosi aplinkoje ir jie dera su ja bei yra naudojami pasiekimų vertinimui, savitikrai ir užduotims vertinti.</t>
  </si>
  <si>
    <t>Grįžtamasis ryšys teikiamas naudojant standartines virtualaus mokymosi aplinkos funkcijas</t>
  </si>
  <si>
    <t>Žodynėlis</t>
  </si>
  <si>
    <t>Pateiktas žodynėlis, naudojantis mokymosi aplinkos įrankiais</t>
  </si>
  <si>
    <t>Paskaitų įrašai ir vaizdo konferencijų įrankiai pateikti virtualaus mokymosi aplinkoje</t>
  </si>
  <si>
    <t>Mokymuisi pasiekiami sinchroninės sąveikos įrankiai ir virtualios klasės veiklai reikalingi įrankiai</t>
  </si>
  <si>
    <t>Paskaitos įrašai pateikiami aplinkoje. Įrašai yra tinkamo formato, lengvai atidaromi ir pasiekiami. Įrašų medžiagą sudaro sinchronizuotas vaizdo ir garso (skaidrių) įrašas)</t>
  </si>
  <si>
    <t>KRITERIJŲ GRUPĖ  C. BENDRA STRUKTŪRA, KALBA IR DIZAINAS (C1 - C6)</t>
  </si>
  <si>
    <t>Kalba ir gramatika</t>
  </si>
  <si>
    <t>Viso C1:</t>
  </si>
  <si>
    <t>Viso C2:</t>
  </si>
  <si>
    <t>Viso C3:</t>
  </si>
  <si>
    <t>Viso C4:</t>
  </si>
  <si>
    <t>Viso C5:</t>
  </si>
  <si>
    <t>Viso C6:</t>
  </si>
  <si>
    <t>Viso C grupėje</t>
  </si>
  <si>
    <t>Daugiausiai C grupėje</t>
  </si>
  <si>
    <t>Medžiaga parengta aiškia ir logiška kalba</t>
  </si>
  <si>
    <t>Vaizdo ir garso medžiaga yra aiški</t>
  </si>
  <si>
    <t>Mokymosi turinio stilius atitinka akademinius standartus</t>
  </si>
  <si>
    <t>Nėra gramatinių klaidų</t>
  </si>
  <si>
    <t>Aiškus mokymosi organizavimas ir vartotojui draugiška ir tinkama aplinka</t>
  </si>
  <si>
    <t>Besimokantieji yra informuoti apie reikalavimus pradėti mokymosi procesą</t>
  </si>
  <si>
    <t xml:space="preserve">Besimokantieji yra informuoti apie techninius reikalavimus mokymuisi </t>
  </si>
  <si>
    <t>Tikslinės grupės poreikiai yra aiškiai įvertinti projektuojant mokymosi turinį</t>
  </si>
  <si>
    <t>Mokymosi krūvis yra nuoseklus ir atitinkantis tikslinės grupės reikalavimus.</t>
  </si>
  <si>
    <t>Bendra estetika</t>
  </si>
  <si>
    <t>Daugialypė terpė naudojama pagal paskirtį ir nėra perteklinė</t>
  </si>
  <si>
    <t>Paveiksliukų, grafikų, vaizdo ir garso medžiagos kiekis atitinka mokymosi didaktinius poreikius ir juos sustiprina</t>
  </si>
  <si>
    <t>Autorinės teisės</t>
  </si>
  <si>
    <t>Mokymosi turinio medžiaga (tekstas, paveikslėliai, straipsniai, grafikai, vaizdo ir garso medžiaga) atitinka autorinių teisių nuostatas ir yra tinkamai cituojama referenced</t>
  </si>
  <si>
    <t>Mokymosi turiniui yra suteikta informacija dėl autorinių teisių ir turinio panaudos galiybių</t>
  </si>
  <si>
    <t>Loginė turinio struktūra ir lanksčios mokymosi galimybės</t>
  </si>
  <si>
    <t>Mokymosi turinys yra aiškiai struktūriškai pateiktas per pradinį turinį</t>
  </si>
  <si>
    <t xml:space="preserve">Mokymosi turinio loginės dalys yra aiškiai ir viendomis porcijomis struktūruotas, pradedant paprasčiausiomis ir baigiant sudėtingiausiomis sampratomis </t>
  </si>
  <si>
    <t>Mokymosi turinio realizacija internete užtikrina mokymosi individualizavimą</t>
  </si>
  <si>
    <t>Bibliografija ir studijų ištekliai</t>
  </si>
  <si>
    <t>Besimokantieji yra informuoti apie privalomus ir papildomus mokymosi išteklius</t>
  </si>
  <si>
    <t>Besimokantieji pasiekia reikalingą bibliografiją</t>
  </si>
  <si>
    <t>KRITERIJŲ GRUPĖ D. MOKYMOSI ORGANIZAVIMAS (D1-D4)</t>
  </si>
  <si>
    <t xml:space="preserve">Interaktyvumas </t>
  </si>
  <si>
    <t xml:space="preserve">Besimojantieji yra skatinami prisistatyti naudojant skirtingas IT priemonės (pvz., Moodle aplinkoje susikurti profilį) </t>
  </si>
  <si>
    <t>Dėstytoja(s) prisistato taip pat naudojantis IT priemones</t>
  </si>
  <si>
    <t>Kurse suplanuotas diskusijų ir bendradarbiavimo įrankių panaudojimas mokymosi procese</t>
  </si>
  <si>
    <t>Naudojami sinchroninės komunikacijos įrankiai</t>
  </si>
  <si>
    <t>Naudojamsi asinchroninės komunikacijos įrankiai</t>
  </si>
  <si>
    <t>Viso D1:</t>
  </si>
  <si>
    <t>Viso D2:</t>
  </si>
  <si>
    <t>Viso D3:</t>
  </si>
  <si>
    <t>Viso D4:</t>
  </si>
  <si>
    <t>Daugiausiai  D grupėje</t>
  </si>
  <si>
    <t>Viso D grupėje D:</t>
  </si>
  <si>
    <t>Besimokančiųjų parama ir e.kuravimas</t>
  </si>
  <si>
    <t>Pateikta informacija apie pedagoginę pagalbą mokantis</t>
  </si>
  <si>
    <t>Pateiktas mokymo turinio ir mokymosi vadovas</t>
  </si>
  <si>
    <t>Mokymosi krūvis ir tvarkaraštis</t>
  </si>
  <si>
    <t>Pateiktas susitikimų/ paskaitų ir / ar konsultacijų tvarkaraštis</t>
  </si>
  <si>
    <t>Pateiktas užduočių atlikimo grafikas</t>
  </si>
  <si>
    <t>Besimokančiųjų grįžtamasis ryšys</t>
  </si>
  <si>
    <t>Galimybė besimokantiesiems teikti grįžtamąjį ryšį yra suplanuota</t>
  </si>
  <si>
    <t>Viso A grupėje:</t>
  </si>
  <si>
    <t>Viso A6:</t>
  </si>
  <si>
    <t>NUOTOLINIAM MOKYMUI PRITAIKYTŲ UGDYMO DALYKŲ KOKYBĖS VERTINIMO KRITERIJAI</t>
  </si>
  <si>
    <t>Vytauto Didžiojo universitetas, Revive VET projekto kosorciumas</t>
  </si>
  <si>
    <t>Tikslinė institucija</t>
  </si>
  <si>
    <t>Profesinio mokymo, bendrojo lavinimo, jaunimo ir suaugusiųjų mokymo centrai, kurie rengia nuotoliniam mokymui pritaikytus ugdymo dalykus</t>
  </si>
  <si>
    <t>Mokymosi visą gyvenimą programos
Leonardo da Vinči Naujovių perkėlimo projektas "REVIVE VET – Profesinio mokymo ir rengimo praktikų vertinimas ir tobulinimas"
 No. LLP-LDV-TOI-2011-LT-0087"</t>
  </si>
  <si>
    <t xml:space="preserve">Nustatytas minimalus reikalavimas, jog kiekvienoje kriterijų grupėje būtų surinktas bent minimalus procentas. 
Mokymo(-si) turinys rekomenduojamas/ atestuojamas nuotoliniam mokymuisi jeigu kiekvienos kriterijų grupės įvertinimas atitinka minimumą. Minimalūs reikalavimai turi atitikti institucijos vidaus tvarką ir/ ar jai neprieštarauti. Kitu atveju - minimali kokybės kriterijų pritaikomumo išraiška turi būti 80%.
</t>
  </si>
  <si>
    <t>Mokymo turinyje naudojamas formuojamasis vertinimas.</t>
  </si>
  <si>
    <t>Užduoties apraše gali būti pateikti rekomenduojami įrankiai, reikalingi užduoties atlikimui.</t>
  </si>
  <si>
    <t>Užtikrintas eksperimentinis validumas (sąsajos su profesinės veiklos pasauliu) - PROFESINIAM MOKYMUI</t>
  </si>
  <si>
    <t>Grupės naudojamos pagal paskirtį. Grupės kuriamos rankiniu ar atsitiktinio grupavimo būdu.</t>
  </si>
  <si>
    <t>Sąvokos yra automatiškai susiejamos su žodynėliu, jeigu teorija pateikta html formatu.</t>
  </si>
  <si>
    <t>Mokymosi krūvis yra nuoseklus ir atitinkantis ugdymo plano reikalavimus.</t>
  </si>
  <si>
    <t>Kurse naudojama  programinės įrangos versija atitinka vartotojų poreikius</t>
  </si>
  <si>
    <t>Stiliaus elementai (šrifto dydis, formatas, pristatymai ir kt.) yra tinkami ir dera tarpusavyje</t>
  </si>
  <si>
    <t>Pagrindinės mokymosi temos yra išskirtos</t>
  </si>
  <si>
    <t>Mokymosi turinys ir mokymosi krūvis yra pagrįstas bendromis programomis</t>
  </si>
  <si>
    <t xml:space="preserve">Mokymosi valandos, temos ir užduotys mokymosi turinyje yra paskirstytos tolygiai, adekvačiai skiriamam mokymosi laikui </t>
  </si>
  <si>
    <t>Šis produktas yra priskirtas kūrybinių bendrijų licencijai    
CC BY-NC-ND 3.0</t>
  </si>
  <si>
    <t>Vertinimo įrankį parengė</t>
  </si>
  <si>
    <t>Dalyko pavadinimas</t>
  </si>
  <si>
    <t>maks.4</t>
  </si>
  <si>
    <t>maks.2</t>
  </si>
  <si>
    <t>maks.5,5</t>
  </si>
  <si>
    <t>maks.3,5</t>
  </si>
  <si>
    <t>Komentarai ir priemonės dalyko tobulinimui 
(stulpelį pildo vertintojas)</t>
  </si>
  <si>
    <t>maks.4,5</t>
  </si>
  <si>
    <t>maks.7,5</t>
  </si>
  <si>
    <t>maks.6</t>
  </si>
  <si>
    <t>maks.3</t>
  </si>
  <si>
    <t>maks.5</t>
  </si>
  <si>
    <t>Šis dokumentas yra skirtas mokytojams, nuotolinio mokymo turinio autoriams(pagal bendrojo lavinimo programas) bei vertintojams</t>
  </si>
  <si>
    <t xml:space="preserve">Šis dokumentas, pateikiantis nuotoliniam mokymui pritaikytų dalykų kokybės vertinimo kriterijus, gali būti naudojamas:
- mokytojui, rengiančiam nuotolinio mokymo(-si) dalyką
- isntitucijai, atlikti nuotoliniam mokymui pritaikytų ugdymo dalykų atestaciją ir vertinimą
- išoriniam vertinimui.
Atestacijos/ vertinimo procedūra turi būti atlikta vadovaujantis institucijos tvarka. Išorinė atestacija/ vertinimas gali būti atlikti taip pat nacionaliniame ar tarptautiniame lygmenyje ir gali būti baigiami sertifikavimu. </t>
  </si>
  <si>
    <t>Pateikta informacija apie technologinę pagalbą mokantis</t>
  </si>
  <si>
    <t>Mokymosi medžiaga pateikta pdf formato failais arba nuorodomis į kitus internetinius puslapius. Mano rekomendacija būtų tokia, jog nuoroda į kitą internetinį puslapį atsidarytų naujame lange, nes atsidarius tame pačiame ir pavaikščiojus giliau po medžiagą, reikia daug kartų paspausti klavišą atgal, kol grįžtama į Moodle aplinką.</t>
  </si>
  <si>
    <t xml:space="preserve">Sąvokų žodyno nėra. Kadangi tik dvejose vietose šiame kurse panaudotas Moodle aplinkos įrankis "Puslapis", žodyno susieti nebūtų galima su pateikta mokymosi medžiaga. </t>
  </si>
  <si>
    <t>Rita Misiulienė Šiaurės Lietuvos kolegija</t>
  </si>
  <si>
    <t>Kurse pateiktas vienas bendras forumas. Rekomenduočiau po kiekvieno skyriaus pateikti diskusijų forumą, skirtą temos aptarimui. O taip pat rekomenduočiau kurse sukurti forumą grupiniai diskusijai vienu ar kitu klausymu, kuris būtu viena iš sudedamųjų dalių vedant įskaitą.</t>
  </si>
  <si>
    <t>Tik prie įsitvirtinimo užduočių pateikimo galima parašyti įvertinimą, komentarą, pridėti ištaisytą darbą. Kaip ir minėjau anksčiau, rekomenduoju leisti pridėti ir savitikros užduotis, kurias būtų galima patikrini, pakomentuoti. Savikontrolės užduotis galima būtų pateikti ir testų forma (kurse yra vienas testas). Tuomet mokytojas sutaupytu savo laiko, o ir mokinys iš karto matytų savo rezultatus.</t>
  </si>
  <si>
    <t>Kurse nėra vaizdinės ir garsinės medžiagos. Mokymosi krūvis nuoseklus, užduotys pateikiamos po kiekvienos išmoktos temos.</t>
  </si>
  <si>
    <t xml:space="preserve">Kurse pateikta medžiaga skirta senesnei ir naujasnei MS ofiso versijai. </t>
  </si>
  <si>
    <t>Nenurodyti šaltiniai, iš kur imta mokymosi medžiaga. Kaip ir buvo minėta anksčiau, rekomenduojama nurodyti šaltinius, iš kurių parengta kurso medžiaga.</t>
  </si>
  <si>
    <t>Kaip ir buvo minėta, dalis informacijos yra pateika visos knygos formatu, tad sunkiau susigaudyti, kurį skyrių reikia skaityti. Užduotys pateiktos nuo lengvesnės iki sunkesnės.</t>
  </si>
  <si>
    <t>Kurse nėra pateikta privaloma ir papildoma literatūra mokiniui. Rekomenduojama nurodyti knygas, internetinius šaltinius ir kt. medžiagą pagrindiniam ir papildomam mokymuisi.</t>
  </si>
  <si>
    <t>Parsisiųsti galima tik pdf formato failus, o didžioji dalis mokymosi medžiagos pateikta taip, jog ją galima skaityti tik prisijungus prie Moodle aplinkos. Pdf formato medžiaga pateikta, kaip vientisa knyga, nesuskirstyta į atskiras smulkias dalis. Rekomenduočiau labiau išnaudoti Moodle funkciją "Puslapis". Tuomet būtų galima mokymosi medžiagą pateikti smulkiais skyreliais, poskyriais, nuosekliau ir aiškiau. O po viso skyriaus tuomet galima įdėti pdf ar kito formato failą parsisiuntimui ir papildomui pasiskaitymui.</t>
  </si>
  <si>
    <t>Kurse nėra pateikta jokios video medžiagos. Rekomenduočiau prie kiekvienos temos (skyriaus) pateikti trumpus video apie taip, kaip dirbti su vienu ar kitu MS ofiso įrankiu. Mokomųjų video galima rasti internete, nebūtina kurti pačiam. Taip pat kiekvienas skyrius turėtu turėti pamoką (pamokas).</t>
  </si>
  <si>
    <t>Rekomenduojama nurodyti, su kokiomis programomis bus dirbama pamokų metu. Ir kokias turi turėti mokinys. Taip pat mokinio vadove nurodyti, kada prasidės ir kada baigsis kursas, kiek pamokų ir susitikimų laukia per savaitę.</t>
  </si>
  <si>
    <t xml:space="preserve">Dalyko autoriai </t>
  </si>
  <si>
    <t>Dalyko vertintojai</t>
  </si>
  <si>
    <t xml:space="preserve">BENDRAS REZULTATAS (BENDRA SUMA PO SAVIANALIZĖS) </t>
  </si>
  <si>
    <t>BENDRA SUMA PO IŠORINIO VERTINIMO</t>
  </si>
  <si>
    <t>Savianalizės metu nustatytas įgyvendinimo lygmuo</t>
  </si>
  <si>
    <t>Vertintojo nuomonė apie įgyvendinimo lygmenį</t>
  </si>
  <si>
    <t>Savianalizės rezultatas</t>
  </si>
  <si>
    <t>Vertintojo rezultatas</t>
  </si>
  <si>
    <t>Nurodykite, kaip šis kriterijus yra išpildomas Jūsų atveju. Pateikite faktus ir argumentus</t>
  </si>
  <si>
    <t>Komentarai ir rekomendacijos dalyko tobulinimui (skirta dalyko autoriui savianalizės metu)</t>
  </si>
  <si>
    <t>Danutė Bačinskienė, LieDM asociacija</t>
  </si>
  <si>
    <t>Informacinės technologijos suaugusiųjų mokymo centre</t>
  </si>
  <si>
    <t xml:space="preserve">Kurse pateiktas bendras tikslas ir uždaviniai.  Jie turėtų būti konkretūs ir mokiniui suprantami. </t>
  </si>
  <si>
    <t xml:space="preserve">Mokymo metodų įvairovės yra, tačiau neplati. Panaudotos nuorodų į internete pateiktą video medžiagą (laisvai prieinamą), parengti trumpi mokomieji video įrašai, kurie leidžia greičiau įsisavinti mokymosi medžiagą. Ne visos pateiktos užduotys reikalauja tikslaus atkartojimo, tad mokinys gali parodyti savo kūribiškumą. </t>
  </si>
  <si>
    <t>Prie kiekvieno skyriaus pateikti jo tikslą ir siekinius.  Prie ugdymo dalyko aprašo pridėjau nuorodą į vidurinio ugdymo IT bendrąją programą, kurioje (IV skyriuje) aprašomi mokinio pasiekimai, turinio apimtis potemėmis, konkretūs tikslai ir uždaviniai (potemėms).</t>
  </si>
  <si>
    <t xml:space="preserve">Papildyti nuorodų į vaizdo pamokas bendroje dalyje. Naudotis prie temų (potemių) įrašytomis vaizdo konferencijomis. </t>
  </si>
  <si>
    <t xml:space="preserve">Dalyko apraše nurodyta, jog mokiniai nevertinami pažymų, bet jie turi dvi įskaitas per metus iš kurių vedamas galutinis pažymys (pasiekimas). Po kiekvieno skyriaus kurse yra pateiktaos žinių įtvirtinimo užduotys, prie kurių yra vertinimo kriterijai. Yra pateiktų užduočių, po kuriomis galėtų būti galimybė ("prisegtukai") pridėti atliktą užduotį ir sulaukti mokytojo atiliepimo apie jos atlikimą. </t>
  </si>
  <si>
    <t>Visas užduotis talpinti į Moodle sistemą.</t>
  </si>
  <si>
    <t xml:space="preserve">Mokymosi kurse naudojami kelių autorių mokymosi šaltiniai, nurodytos autorinės teisės. </t>
  </si>
  <si>
    <t>Nurodyti, kokia literatūra naudota kurso parengimui, net jeigu tai ir laisvai internete rasta medžiaga.</t>
  </si>
  <si>
    <t>Dalyko pradžioje pateikiamas mokinio vadovas su aprašu, kurios užduotys privalomos /neprivalomos ir iki kada jas reikia atlikti.</t>
  </si>
  <si>
    <t>Žinių įtvirtinimo užduotyse pateikti vertinimo kriterijus.</t>
  </si>
  <si>
    <t>Netaikintina</t>
  </si>
  <si>
    <t>Pataisyta</t>
  </si>
  <si>
    <t>Dalinai pataisyta</t>
  </si>
  <si>
    <t>Kol kas pasiūliau mokiniams kitus pagalbos būdus atliekant savitikros užduotis,</t>
  </si>
  <si>
    <t>Bendroje dalyje pateikiau vaizdo pamokų dirbant su vienu ar kitu MS ofiso įrankiu. Bus įrašytos ir vaizdo konferencijos, kai startuos nuotolinis m.</t>
  </si>
  <si>
    <t>Vaizdinė medžiaga kol kas, kaip minėjau, pateikta bedroje dalyje.</t>
  </si>
  <si>
    <t xml:space="preserve">Bendroje dalyje pateikiau tvarkarštį (išsamiau: su akivaizdiniais susitikimais ir video konferencijomis). Konkretų tvarkaraštį sunku parodyti, kol nėra mokinių ir bendrojo tvarkaraščio. </t>
  </si>
  <si>
    <t>Dalinai įgyvendinta</t>
  </si>
  <si>
    <t xml:space="preserve">Kurse yra pateiktas vienas bendras forumas, kuriame sukurtas aplankas „Pagalba mokiniui“. Kurse pateikti tik asinchroniniai įrankiai - testas, failo pridėjimas. </t>
  </si>
  <si>
    <t>Reikėtų mokytojui pirmam pradėti diskusiją, taip paskatinant jame dalyvauti ir mokinius. Būtų galima įtraukti "Pokalbį" konsultacijoms su mokiniais, o taip pat tiesioginias pamokas, konsultacijas.</t>
  </si>
  <si>
    <t>Pateikiamas mokinio vadovas, kuriame pateikti mokytojo kontaktai, informacija apie mokytojo teikiamą pagalbą dėl užduočių atlikimo ir pan. Taip pat Moodle aplinkos mokinio vadovas (čia turėtu būti pateikta gal pačiame pradiniame Moodle lange visiems mokiniams).</t>
  </si>
  <si>
    <t>Moodle aplinkos mokinio vadovą pateikti gal pačiame pradiniame Moodle lange visiems mokiniams.</t>
  </si>
  <si>
    <t xml:space="preserve">Temos suskirstytos atitinkamomis valandomis. Mokinio vadove pateiktas pamokų, konsultacijų susitikimo laikas, planas ir užduočių atlikimo grafikas. </t>
  </si>
  <si>
    <t>Dar jį suteikti galima pridėjus kontrolinės užduotis. Tačiau ir testuose reikia teikti grįžtamąjį ryšį, neteisingai atsakius į klausimus, nurodant kurį skyrių reikia paskaityti.</t>
  </si>
  <si>
    <t>Grįžtamasis ryšys teikiamas vaizdo konferencijų pagalba</t>
  </si>
  <si>
    <t>Skatintina</t>
  </si>
</sst>
</file>

<file path=xl/styles.xml><?xml version="1.0" encoding="utf-8"?>
<styleSheet xmlns="http://schemas.openxmlformats.org/spreadsheetml/2006/main">
  <numFmts count="2">
    <numFmt numFmtId="164" formatCode="0.0%"/>
    <numFmt numFmtId="165" formatCode="0.0"/>
  </numFmts>
  <fonts count="28">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sz val="11"/>
      <color rgb="FFFF0000"/>
      <name val="Calibri"/>
      <family val="2"/>
      <charset val="186"/>
      <scheme val="minor"/>
    </font>
    <font>
      <b/>
      <sz val="8"/>
      <color indexed="8"/>
      <name val="Calibri"/>
      <family val="2"/>
    </font>
    <font>
      <b/>
      <sz val="11"/>
      <name val="Calibri"/>
      <family val="2"/>
    </font>
    <font>
      <i/>
      <sz val="11"/>
      <color theme="1"/>
      <name val="Calibri"/>
      <family val="2"/>
      <scheme val="minor"/>
    </font>
    <font>
      <b/>
      <sz val="11"/>
      <name val="Calibri"/>
      <family val="2"/>
      <charset val="186"/>
      <scheme val="minor"/>
    </font>
    <font>
      <sz val="10"/>
      <color theme="1"/>
      <name val="Calibri"/>
      <family val="2"/>
      <charset val="186"/>
      <scheme val="minor"/>
    </font>
    <font>
      <sz val="10"/>
      <name val="Calibri"/>
      <family val="2"/>
      <charset val="186"/>
      <scheme val="minor"/>
    </font>
    <font>
      <sz val="10"/>
      <color rgb="FF0070C0"/>
      <name val="Calibri"/>
      <family val="2"/>
      <charset val="186"/>
      <scheme val="minor"/>
    </font>
    <font>
      <sz val="9"/>
      <color indexed="81"/>
      <name val="Tahoma"/>
      <family val="2"/>
    </font>
    <font>
      <b/>
      <sz val="9"/>
      <color indexed="81"/>
      <name val="Tahoma"/>
      <family val="2"/>
    </font>
    <font>
      <sz val="11"/>
      <color theme="1"/>
      <name val="Calibri"/>
      <family val="2"/>
      <charset val="186"/>
      <scheme val="minor"/>
    </font>
    <font>
      <sz val="11"/>
      <color indexed="30"/>
      <name val="Calibri"/>
      <family val="2"/>
      <charset val="186"/>
    </font>
    <font>
      <sz val="11"/>
      <name val="Calibri"/>
      <family val="2"/>
      <charset val="186"/>
      <scheme val="minor"/>
    </font>
    <font>
      <b/>
      <sz val="11"/>
      <name val="Calibri"/>
      <family val="2"/>
      <charset val="186"/>
    </font>
  </fonts>
  <fills count="7">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indexed="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24" fillId="0" borderId="0" applyFont="0" applyFill="0" applyBorder="0" applyAlignment="0" applyProtection="0"/>
  </cellStyleXfs>
  <cellXfs count="182">
    <xf numFmtId="0" fontId="0" fillId="0" borderId="0" xfId="0"/>
    <xf numFmtId="0" fontId="0" fillId="0" borderId="2" xfId="0" applyBorder="1"/>
    <xf numFmtId="0" fontId="0" fillId="0" borderId="3"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5" fillId="0" borderId="0" xfId="0" applyFont="1"/>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1"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4" fillId="3" borderId="0" xfId="0" applyFont="1" applyFill="1"/>
    <xf numFmtId="0" fontId="5" fillId="3" borderId="0" xfId="0" applyFont="1" applyFill="1"/>
    <xf numFmtId="0" fontId="18" fillId="2" borderId="0" xfId="0" applyFont="1" applyFill="1" applyAlignment="1">
      <alignment horizontal="left" vertical="top"/>
    </xf>
    <xf numFmtId="0" fontId="19" fillId="0" borderId="0" xfId="0" applyFont="1" applyAlignment="1">
      <alignment horizontal="left" vertical="top"/>
    </xf>
    <xf numFmtId="0" fontId="19" fillId="0" borderId="1" xfId="0" applyFont="1" applyBorder="1" applyAlignment="1">
      <alignment horizontal="center" vertical="top"/>
    </xf>
    <xf numFmtId="10" fontId="13" fillId="0" borderId="0" xfId="0" applyNumberFormat="1"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left" vertical="top"/>
    </xf>
    <xf numFmtId="0" fontId="19" fillId="0" borderId="1" xfId="0" applyFont="1" applyBorder="1" applyAlignment="1">
      <alignment horizontal="left" vertical="top"/>
    </xf>
    <xf numFmtId="0" fontId="20" fillId="0" borderId="1" xfId="0" applyFont="1" applyBorder="1" applyAlignment="1">
      <alignment horizontal="left" vertical="top" wrapText="1"/>
    </xf>
    <xf numFmtId="0" fontId="19" fillId="0" borderId="1" xfId="0" applyFont="1" applyBorder="1" applyAlignment="1">
      <alignment horizontal="left" vertical="top" wrapText="1"/>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10"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9" fillId="0" borderId="1" xfId="0" applyFont="1" applyBorder="1" applyAlignment="1">
      <alignment horizontal="left" vertical="top"/>
    </xf>
    <xf numFmtId="0" fontId="17" fillId="0" borderId="0" xfId="0" applyFont="1" applyBorder="1" applyAlignment="1">
      <alignment horizontal="right" vertical="top"/>
    </xf>
    <xf numFmtId="0" fontId="25" fillId="0" borderId="8" xfId="0" applyFont="1" applyBorder="1" applyAlignment="1">
      <alignment horizontal="left" vertical="top" wrapText="1"/>
    </xf>
    <xf numFmtId="164" fontId="19" fillId="2" borderId="1" xfId="1" applyNumberFormat="1" applyFont="1" applyFill="1" applyBorder="1" applyAlignment="1">
      <alignment horizontal="center" vertical="top"/>
    </xf>
    <xf numFmtId="164" fontId="19" fillId="5" borderId="1" xfId="1" applyNumberFormat="1" applyFont="1" applyFill="1" applyBorder="1" applyAlignment="1">
      <alignment horizontal="center" vertical="top"/>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9" fontId="9" fillId="0" borderId="1" xfId="1" applyFont="1" applyBorder="1" applyAlignment="1">
      <alignment horizontal="left" vertical="top"/>
    </xf>
    <xf numFmtId="0" fontId="20" fillId="0" borderId="1" xfId="0" applyFont="1" applyBorder="1" applyAlignment="1">
      <alignment horizontal="center" vertical="top"/>
    </xf>
    <xf numFmtId="0" fontId="9" fillId="0" borderId="11" xfId="0" applyFont="1" applyBorder="1" applyAlignment="1">
      <alignment horizontal="left" vertical="top"/>
    </xf>
    <xf numFmtId="0" fontId="8" fillId="0" borderId="9" xfId="0" applyFont="1" applyBorder="1" applyAlignment="1">
      <alignment horizontal="left" vertical="top"/>
    </xf>
    <xf numFmtId="0" fontId="9" fillId="0" borderId="6" xfId="0" applyFont="1" applyBorder="1" applyAlignment="1">
      <alignment horizontal="left" vertical="center" wrapText="1"/>
    </xf>
    <xf numFmtId="0" fontId="18" fillId="5" borderId="1" xfId="0" applyFont="1" applyFill="1" applyBorder="1" applyAlignment="1">
      <alignment horizontal="center" wrapText="1"/>
    </xf>
    <xf numFmtId="0" fontId="0" fillId="0" borderId="6" xfId="0" applyBorder="1" applyAlignment="1">
      <alignment horizontal="left" vertical="top"/>
    </xf>
    <xf numFmtId="0" fontId="10" fillId="0" borderId="12" xfId="0" applyFont="1" applyBorder="1" applyAlignment="1">
      <alignment horizontal="left" vertical="top"/>
    </xf>
    <xf numFmtId="1" fontId="10" fillId="0" borderId="13" xfId="0" applyNumberFormat="1" applyFont="1" applyBorder="1" applyAlignment="1">
      <alignment horizontal="center" vertical="top"/>
    </xf>
    <xf numFmtId="0" fontId="10" fillId="0" borderId="13" xfId="0" applyFont="1" applyBorder="1" applyAlignment="1">
      <alignment horizontal="left" vertical="top"/>
    </xf>
    <xf numFmtId="10" fontId="13" fillId="0" borderId="10" xfId="0" applyNumberFormat="1" applyFont="1" applyBorder="1" applyAlignment="1">
      <alignment horizontal="center" vertical="top"/>
    </xf>
    <xf numFmtId="0" fontId="9" fillId="0" borderId="7" xfId="0" applyFont="1" applyBorder="1" applyAlignment="1">
      <alignment vertical="top"/>
    </xf>
    <xf numFmtId="0" fontId="0" fillId="0" borderId="14" xfId="0" applyBorder="1" applyAlignment="1">
      <alignment horizontal="left" vertical="top"/>
    </xf>
    <xf numFmtId="9" fontId="13" fillId="0" borderId="10" xfId="0" applyNumberFormat="1" applyFont="1" applyBorder="1" applyAlignment="1">
      <alignment horizontal="center" vertical="center"/>
    </xf>
    <xf numFmtId="164" fontId="0" fillId="0" borderId="1" xfId="0" applyNumberFormat="1" applyBorder="1" applyAlignment="1">
      <alignment horizontal="center" vertical="top"/>
    </xf>
    <xf numFmtId="0" fontId="9" fillId="0" borderId="12" xfId="0" applyFont="1" applyBorder="1" applyAlignment="1">
      <alignment horizontal="left" vertical="top" wrapText="1"/>
    </xf>
    <xf numFmtId="0" fontId="0" fillId="0" borderId="6"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lignment horizontal="left" vertical="top"/>
    </xf>
    <xf numFmtId="10" fontId="13" fillId="0" borderId="15" xfId="0" applyNumberFormat="1" applyFont="1" applyBorder="1" applyAlignment="1">
      <alignment horizontal="left" vertical="top"/>
    </xf>
    <xf numFmtId="0" fontId="9" fillId="0" borderId="9" xfId="0" applyFont="1" applyBorder="1" applyAlignment="1">
      <alignment horizontal="left" vertical="top" wrapText="1"/>
    </xf>
    <xf numFmtId="0" fontId="9" fillId="0" borderId="9" xfId="0" applyFont="1" applyBorder="1" applyAlignment="1">
      <alignment horizontal="left" vertical="top"/>
    </xf>
    <xf numFmtId="0" fontId="9" fillId="0" borderId="12" xfId="0" applyFont="1" applyBorder="1" applyAlignment="1">
      <alignment horizontal="left" vertical="top"/>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center" vertical="top"/>
    </xf>
    <xf numFmtId="0" fontId="11" fillId="0" borderId="9" xfId="0" applyFont="1" applyBorder="1" applyAlignment="1">
      <alignment horizontal="left" vertical="top" wrapText="1"/>
    </xf>
    <xf numFmtId="0" fontId="0" fillId="0" borderId="9" xfId="0" applyBorder="1" applyAlignment="1">
      <alignment horizontal="center" vertical="top"/>
    </xf>
    <xf numFmtId="165" fontId="10" fillId="0" borderId="13" xfId="0" applyNumberFormat="1" applyFont="1" applyBorder="1" applyAlignment="1">
      <alignment horizontal="left" vertical="top"/>
    </xf>
    <xf numFmtId="0" fontId="0" fillId="0" borderId="1" xfId="0" applyBorder="1" applyAlignment="1" applyProtection="1">
      <alignment horizontal="left" vertical="top"/>
      <protection locked="0"/>
    </xf>
    <xf numFmtId="0" fontId="19" fillId="0" borderId="1"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10" fillId="0" borderId="0" xfId="0" applyFont="1" applyAlignment="1">
      <alignment horizontal="left" vertical="top"/>
    </xf>
    <xf numFmtId="0" fontId="18" fillId="2" borderId="0" xfId="0" applyFont="1" applyFill="1" applyAlignment="1">
      <alignment horizontal="left" vertical="top"/>
    </xf>
    <xf numFmtId="0" fontId="20" fillId="0" borderId="1" xfId="0" applyFont="1" applyBorder="1" applyAlignment="1">
      <alignment horizontal="left" vertical="top" wrapText="1"/>
    </xf>
    <xf numFmtId="0" fontId="19" fillId="0" borderId="1" xfId="0" applyFont="1" applyBorder="1" applyAlignment="1">
      <alignment horizontal="left" vertical="top" wrapText="1"/>
    </xf>
    <xf numFmtId="0" fontId="11" fillId="0" borderId="1" xfId="0" applyFont="1" applyBorder="1" applyAlignment="1">
      <alignment horizontal="left" vertical="top" wrapText="1"/>
    </xf>
    <xf numFmtId="0" fontId="21" fillId="0" borderId="8"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0" fillId="4" borderId="33" xfId="0" applyFill="1" applyBorder="1" applyAlignment="1">
      <alignment horizontal="center" vertical="center"/>
    </xf>
    <xf numFmtId="0" fontId="18" fillId="2" borderId="1" xfId="0" applyFont="1" applyFill="1" applyBorder="1" applyAlignment="1">
      <alignment horizontal="center" wrapText="1"/>
    </xf>
    <xf numFmtId="0" fontId="1" fillId="6" borderId="1" xfId="0" applyFont="1" applyFill="1" applyBorder="1" applyAlignment="1">
      <alignment horizontal="center" wrapText="1"/>
    </xf>
    <xf numFmtId="0" fontId="14" fillId="2" borderId="0" xfId="0" applyFont="1" applyFill="1" applyAlignment="1">
      <alignment horizontal="center"/>
    </xf>
    <xf numFmtId="0" fontId="0" fillId="0" borderId="6" xfId="0" applyBorder="1" applyAlignment="1">
      <alignment horizontal="center"/>
    </xf>
    <xf numFmtId="164" fontId="19" fillId="2" borderId="1" xfId="1" applyNumberFormat="1" applyFont="1" applyFill="1" applyBorder="1" applyAlignment="1">
      <alignment horizontal="center"/>
    </xf>
    <xf numFmtId="164" fontId="0" fillId="0" borderId="1" xfId="0" applyNumberFormat="1" applyBorder="1" applyAlignment="1">
      <alignment horizontal="center"/>
    </xf>
    <xf numFmtId="9" fontId="13" fillId="0" borderId="10" xfId="0" applyNumberFormat="1" applyFont="1" applyBorder="1" applyAlignment="1">
      <alignment horizontal="center"/>
    </xf>
    <xf numFmtId="0" fontId="0" fillId="0" borderId="0" xfId="0" applyBorder="1" applyAlignment="1">
      <alignment horizontal="center"/>
    </xf>
    <xf numFmtId="0" fontId="0" fillId="0" borderId="0" xfId="0" applyAlignment="1">
      <alignment horizontal="center"/>
    </xf>
    <xf numFmtId="164" fontId="19" fillId="2" borderId="1" xfId="1" applyNumberFormat="1" applyFont="1" applyFill="1" applyBorder="1" applyAlignment="1">
      <alignment horizontal="center" vertical="center"/>
    </xf>
    <xf numFmtId="164" fontId="19" fillId="5" borderId="1" xfId="1" applyNumberFormat="1" applyFont="1" applyFill="1" applyBorder="1" applyAlignment="1">
      <alignment horizontal="center" vertical="center"/>
    </xf>
    <xf numFmtId="0" fontId="18" fillId="2" borderId="1" xfId="0" applyFont="1" applyFill="1" applyBorder="1" applyAlignment="1">
      <alignment horizontal="center"/>
    </xf>
    <xf numFmtId="0" fontId="9" fillId="0" borderId="9" xfId="0" applyFont="1" applyBorder="1" applyAlignment="1">
      <alignment horizontal="left" vertical="center" wrapText="1"/>
    </xf>
    <xf numFmtId="0" fontId="9" fillId="0" borderId="1" xfId="0" applyFont="1" applyBorder="1" applyAlignment="1">
      <alignment horizontal="left" vertical="center"/>
    </xf>
    <xf numFmtId="0" fontId="0" fillId="0" borderId="6" xfId="0" applyBorder="1" applyAlignment="1">
      <alignment horizontal="left" vertical="center"/>
    </xf>
    <xf numFmtId="0" fontId="0" fillId="0" borderId="6" xfId="0" applyBorder="1" applyAlignment="1">
      <alignment horizontal="center" vertical="center"/>
    </xf>
    <xf numFmtId="0" fontId="0" fillId="0" borderId="0" xfId="0" applyAlignment="1">
      <alignment horizontal="left" vertical="center"/>
    </xf>
    <xf numFmtId="0" fontId="27" fillId="6" borderId="7" xfId="0" applyFont="1" applyFill="1" applyBorder="1" applyAlignment="1">
      <alignment horizontal="center" wrapText="1"/>
    </xf>
    <xf numFmtId="0" fontId="1" fillId="4" borderId="23"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4" borderId="9"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0" fillId="0" borderId="0" xfId="0" applyBorder="1" applyAlignment="1">
      <alignment horizontal="center" wrapText="1"/>
    </xf>
    <xf numFmtId="0" fontId="0" fillId="2" borderId="9"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7" fillId="0" borderId="9"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0" fillId="4" borderId="32" xfId="0" applyFill="1" applyBorder="1" applyAlignment="1">
      <alignment horizontal="center" wrapText="1"/>
    </xf>
    <xf numFmtId="0" fontId="1" fillId="4" borderId="29" xfId="0" applyFont="1" applyFill="1" applyBorder="1" applyAlignment="1">
      <alignment horizontal="center" vertical="center" wrapText="1"/>
    </xf>
    <xf numFmtId="0" fontId="1" fillId="4" borderId="14"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2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28" xfId="0" applyFont="1" applyFill="1" applyBorder="1" applyAlignment="1" applyProtection="1">
      <alignment horizontal="center" vertical="center" wrapText="1"/>
      <protection locked="0"/>
    </xf>
    <xf numFmtId="0" fontId="1" fillId="4" borderId="24" xfId="0" applyFont="1" applyFill="1" applyBorder="1" applyAlignment="1">
      <alignment horizontal="center" wrapText="1"/>
    </xf>
    <xf numFmtId="0" fontId="1" fillId="4" borderId="25" xfId="0" applyFont="1" applyFill="1" applyBorder="1" applyAlignment="1">
      <alignment horizontal="center" wrapText="1"/>
    </xf>
    <xf numFmtId="0" fontId="1" fillId="4" borderId="26" xfId="0" applyFont="1" applyFill="1" applyBorder="1" applyAlignment="1">
      <alignment horizontal="center" wrapText="1"/>
    </xf>
    <xf numFmtId="0" fontId="1" fillId="4" borderId="2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9" xfId="0" applyFont="1" applyBorder="1" applyAlignment="1">
      <alignment horizontal="righ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0" fillId="0" borderId="18"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13" fillId="0" borderId="14" xfId="0" applyFont="1" applyBorder="1" applyAlignment="1">
      <alignment horizontal="right" vertical="top"/>
    </xf>
    <xf numFmtId="0" fontId="17" fillId="0" borderId="0" xfId="0" applyFont="1" applyAlignment="1">
      <alignment horizontal="right" vertical="top"/>
    </xf>
    <xf numFmtId="0" fontId="9" fillId="0" borderId="9" xfId="0" applyFont="1" applyBorder="1" applyAlignment="1">
      <alignment horizontal="left" vertical="top" wrapText="1"/>
    </xf>
    <xf numFmtId="0" fontId="9" fillId="0" borderId="6" xfId="0" applyFont="1" applyBorder="1" applyAlignment="1">
      <alignment horizontal="left" vertical="top" wrapText="1"/>
    </xf>
    <xf numFmtId="0" fontId="11" fillId="0" borderId="9" xfId="0" applyFont="1" applyBorder="1" applyAlignment="1">
      <alignment horizontal="left" vertical="center" wrapText="1"/>
    </xf>
    <xf numFmtId="0" fontId="11" fillId="0" borderId="6" xfId="0" applyFont="1" applyBorder="1" applyAlignment="1">
      <alignment horizontal="left" vertical="center" wrapText="1"/>
    </xf>
    <xf numFmtId="0" fontId="26" fillId="0" borderId="1" xfId="0" applyFont="1" applyBorder="1" applyAlignment="1" applyProtection="1">
      <alignment horizontal="center" vertical="top" wrapText="1"/>
      <protection locked="0"/>
    </xf>
    <xf numFmtId="0" fontId="26" fillId="0" borderId="18" xfId="0" applyFont="1" applyBorder="1" applyAlignment="1" applyProtection="1">
      <alignment horizontal="center" vertical="top" wrapText="1"/>
      <protection locked="0"/>
    </xf>
    <xf numFmtId="0" fontId="26" fillId="0" borderId="19" xfId="0" applyFont="1" applyBorder="1" applyAlignment="1" applyProtection="1">
      <alignment horizontal="center" vertical="top" wrapText="1"/>
      <protection locked="0"/>
    </xf>
    <xf numFmtId="0" fontId="26" fillId="0" borderId="11"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26" fillId="0" borderId="16" xfId="0" applyFont="1" applyBorder="1" applyAlignment="1" applyProtection="1">
      <alignment horizontal="center" vertical="top" wrapText="1"/>
      <protection locked="0"/>
    </xf>
    <xf numFmtId="0" fontId="26" fillId="0" borderId="12" xfId="0" applyFont="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colors>
    <mruColors>
      <color rgb="FF7BD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990600</xdr:colOff>
      <xdr:row>27</xdr:row>
      <xdr:rowOff>95250</xdr:rowOff>
    </xdr:from>
    <xdr:to>
      <xdr:col>10</xdr:col>
      <xdr:colOff>1828800</xdr:colOff>
      <xdr:row>30</xdr:row>
      <xdr:rowOff>100965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34150" y="8782050"/>
          <a:ext cx="838200" cy="295275"/>
        </a:xfrm>
        <a:prstGeom prst="rect">
          <a:avLst/>
        </a:prstGeom>
        <a:noFill/>
      </xdr:spPr>
    </xdr:pic>
    <xdr:clientData/>
  </xdr:twoCellAnchor>
  <xdr:twoCellAnchor editAs="oneCell">
    <xdr:from>
      <xdr:col>1</xdr:col>
      <xdr:colOff>0</xdr:colOff>
      <xdr:row>0</xdr:row>
      <xdr:rowOff>9524</xdr:rowOff>
    </xdr:from>
    <xdr:to>
      <xdr:col>2</xdr:col>
      <xdr:colOff>304800</xdr:colOff>
      <xdr:row>1</xdr:row>
      <xdr:rowOff>6242</xdr:rowOff>
    </xdr:to>
    <xdr:pic>
      <xdr:nvPicPr>
        <xdr:cNvPr id="4" name="Picture 3" descr="eu-flag.png"/>
        <xdr:cNvPicPr>
          <a:picLocks noChangeAspect="1"/>
        </xdr:cNvPicPr>
      </xdr:nvPicPr>
      <xdr:blipFill>
        <a:blip xmlns:r="http://schemas.openxmlformats.org/officeDocument/2006/relationships" r:embed="rId3" cstate="print"/>
        <a:srcRect t="22656" r="87190" b="16406"/>
        <a:stretch>
          <a:fillRect/>
        </a:stretch>
      </xdr:blipFill>
      <xdr:spPr>
        <a:xfrm>
          <a:off x="152400" y="9524"/>
          <a:ext cx="1143000" cy="749193"/>
        </a:xfrm>
        <a:prstGeom prst="rect">
          <a:avLst/>
        </a:prstGeom>
      </xdr:spPr>
    </xdr:pic>
    <xdr:clientData/>
  </xdr:twoCellAnchor>
  <xdr:twoCellAnchor editAs="oneCell">
    <xdr:from>
      <xdr:col>10</xdr:col>
      <xdr:colOff>0</xdr:colOff>
      <xdr:row>7</xdr:row>
      <xdr:rowOff>0</xdr:rowOff>
    </xdr:from>
    <xdr:to>
      <xdr:col>10</xdr:col>
      <xdr:colOff>838200</xdr:colOff>
      <xdr:row>7</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xdr:spPr>
    </xdr:pic>
    <xdr:clientData/>
  </xdr:twoCellAnchor>
  <xdr:twoCellAnchor editAs="oneCell">
    <xdr:from>
      <xdr:col>10</xdr:col>
      <xdr:colOff>0</xdr:colOff>
      <xdr:row>7</xdr:row>
      <xdr:rowOff>0</xdr:rowOff>
    </xdr:from>
    <xdr:to>
      <xdr:col>10</xdr:col>
      <xdr:colOff>838200</xdr:colOff>
      <xdr:row>7</xdr:row>
      <xdr:rowOff>295275</xdr:rowOff>
    </xdr:to>
    <xdr:pic>
      <xdr:nvPicPr>
        <xdr:cNvPr id="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257175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46</xdr:row>
      <xdr:rowOff>0</xdr:rowOff>
    </xdr:from>
    <xdr:to>
      <xdr:col>10</xdr:col>
      <xdr:colOff>837334</xdr:colOff>
      <xdr:row>46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9</xdr:col>
      <xdr:colOff>0</xdr:colOff>
      <xdr:row>38</xdr:row>
      <xdr:rowOff>0</xdr:rowOff>
    </xdr:from>
    <xdr:to>
      <xdr:col>9</xdr:col>
      <xdr:colOff>0</xdr:colOff>
      <xdr:row>38</xdr:row>
      <xdr:rowOff>295275</xdr:rowOff>
    </xdr:to>
    <xdr:pic>
      <xdr:nvPicPr>
        <xdr:cNvPr id="4"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705725" y="11077575"/>
          <a:ext cx="0" cy="295275"/>
        </a:xfrm>
        <a:prstGeom prst="rect">
          <a:avLst/>
        </a:prstGeom>
        <a:noFill/>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R29"/>
  <sheetViews>
    <sheetView tabSelected="1" zoomScaleNormal="100" workbookViewId="0">
      <selection activeCell="I32" sqref="I32"/>
    </sheetView>
  </sheetViews>
  <sheetFormatPr defaultRowHeight="14.4"/>
  <cols>
    <col min="1" max="1" width="2.33203125" customWidth="1"/>
    <col min="2" max="2" width="12.5546875" customWidth="1"/>
    <col min="4" max="4" width="3" customWidth="1"/>
    <col min="7" max="7" width="5.33203125" customWidth="1"/>
    <col min="8" max="8" width="4" customWidth="1"/>
    <col min="9" max="9" width="6.5546875" customWidth="1"/>
    <col min="10" max="10" width="24.33203125" customWidth="1"/>
    <col min="11" max="11" width="54.88671875" customWidth="1"/>
  </cols>
  <sheetData>
    <row r="1" spans="2:18" ht="59.25" customHeight="1" thickBot="1">
      <c r="C1" s="127" t="s">
        <v>171</v>
      </c>
      <c r="D1" s="127"/>
      <c r="E1" s="127"/>
      <c r="F1" s="127"/>
      <c r="G1" s="127"/>
      <c r="H1" s="127"/>
      <c r="I1" s="127"/>
      <c r="J1" s="127"/>
      <c r="K1" s="127"/>
    </row>
    <row r="2" spans="2:18" s="22" customFormat="1" ht="21.75" customHeight="1">
      <c r="B2" s="155" t="s">
        <v>167</v>
      </c>
      <c r="C2" s="156"/>
      <c r="D2" s="156"/>
      <c r="E2" s="156"/>
      <c r="F2" s="156"/>
      <c r="G2" s="156"/>
      <c r="H2" s="156"/>
      <c r="I2" s="156"/>
      <c r="J2" s="156"/>
      <c r="K2" s="157"/>
      <c r="L2" s="3"/>
      <c r="M2"/>
      <c r="N2"/>
      <c r="O2"/>
      <c r="P2"/>
      <c r="Q2"/>
      <c r="R2"/>
    </row>
    <row r="3" spans="2:18" s="22" customFormat="1" ht="31.5" customHeight="1">
      <c r="B3" s="158" t="s">
        <v>186</v>
      </c>
      <c r="C3" s="159"/>
      <c r="D3" s="159"/>
      <c r="E3" s="152" t="s">
        <v>224</v>
      </c>
      <c r="F3" s="153"/>
      <c r="G3" s="153"/>
      <c r="H3" s="153"/>
      <c r="I3" s="153"/>
      <c r="J3" s="153"/>
      <c r="K3" s="154"/>
      <c r="L3"/>
      <c r="M3"/>
      <c r="N3"/>
      <c r="O3"/>
      <c r="P3"/>
    </row>
    <row r="4" spans="2:18" s="22" customFormat="1" ht="35.25" customHeight="1">
      <c r="B4" s="118" t="s">
        <v>213</v>
      </c>
      <c r="C4" s="119"/>
      <c r="D4" s="120"/>
      <c r="E4" s="121" t="s">
        <v>223</v>
      </c>
      <c r="F4" s="122"/>
      <c r="G4" s="122"/>
      <c r="H4" s="122"/>
      <c r="I4" s="122"/>
      <c r="J4" s="122"/>
      <c r="K4" s="123"/>
      <c r="L4"/>
      <c r="M4"/>
      <c r="N4"/>
      <c r="O4"/>
      <c r="P4"/>
    </row>
    <row r="5" spans="2:18" s="22" customFormat="1" ht="35.25" hidden="1" customHeight="1">
      <c r="B5" s="118" t="s">
        <v>214</v>
      </c>
      <c r="C5" s="119"/>
      <c r="D5" s="120"/>
      <c r="E5" s="121" t="s">
        <v>202</v>
      </c>
      <c r="F5" s="122"/>
      <c r="G5" s="122"/>
      <c r="H5" s="122"/>
      <c r="I5" s="122"/>
      <c r="J5" s="122"/>
      <c r="K5" s="123"/>
      <c r="L5"/>
      <c r="M5"/>
      <c r="N5"/>
      <c r="O5"/>
      <c r="P5"/>
    </row>
    <row r="6" spans="2:18" s="22" customFormat="1" ht="32.25" customHeight="1">
      <c r="B6" s="146" t="s">
        <v>185</v>
      </c>
      <c r="C6" s="147"/>
      <c r="D6" s="148"/>
      <c r="E6" s="124" t="s">
        <v>30</v>
      </c>
      <c r="F6" s="125"/>
      <c r="G6" s="125"/>
      <c r="H6" s="125"/>
      <c r="I6" s="125"/>
      <c r="J6" s="125"/>
      <c r="K6" s="126"/>
      <c r="L6" s="3"/>
      <c r="M6"/>
      <c r="N6"/>
      <c r="O6"/>
      <c r="P6"/>
      <c r="Q6"/>
      <c r="R6"/>
    </row>
    <row r="7" spans="2:18" s="22" customFormat="1" ht="32.25" customHeight="1">
      <c r="B7" s="149"/>
      <c r="C7" s="150"/>
      <c r="D7" s="151"/>
      <c r="E7" s="124" t="s">
        <v>168</v>
      </c>
      <c r="F7" s="125"/>
      <c r="G7" s="125"/>
      <c r="H7" s="125"/>
      <c r="I7" s="125"/>
      <c r="J7" s="125"/>
      <c r="K7" s="126"/>
      <c r="L7" s="3"/>
      <c r="M7"/>
      <c r="N7"/>
      <c r="O7"/>
      <c r="P7"/>
      <c r="Q7"/>
      <c r="R7"/>
    </row>
    <row r="8" spans="2:18" s="22" customFormat="1" ht="32.25" customHeight="1" thickBot="1">
      <c r="B8" s="143" t="s">
        <v>134</v>
      </c>
      <c r="C8" s="144"/>
      <c r="D8" s="144"/>
      <c r="E8" s="145" t="s">
        <v>31</v>
      </c>
      <c r="F8" s="145"/>
      <c r="G8" s="145"/>
      <c r="H8" s="145"/>
      <c r="I8" s="145"/>
      <c r="J8" s="145"/>
      <c r="K8" s="99"/>
      <c r="L8" s="3"/>
      <c r="M8"/>
      <c r="N8"/>
      <c r="O8"/>
      <c r="P8"/>
      <c r="Q8"/>
      <c r="R8"/>
    </row>
    <row r="9" spans="2:18" ht="24.75" customHeight="1" thickBot="1">
      <c r="B9" s="134" t="s">
        <v>197</v>
      </c>
      <c r="C9" s="135"/>
      <c r="D9" s="135"/>
      <c r="E9" s="135"/>
      <c r="F9" s="135"/>
      <c r="G9" s="135"/>
      <c r="H9" s="135"/>
      <c r="I9" s="135"/>
      <c r="J9" s="135"/>
      <c r="K9" s="136"/>
    </row>
    <row r="10" spans="2:18" ht="7.5" customHeight="1">
      <c r="B10" s="6"/>
      <c r="C10" s="6"/>
      <c r="D10" s="6"/>
      <c r="E10" s="6"/>
      <c r="F10" s="6"/>
      <c r="G10" s="6"/>
      <c r="H10" s="6"/>
      <c r="I10" s="6"/>
      <c r="J10" s="6"/>
      <c r="K10" s="5"/>
    </row>
    <row r="11" spans="2:18" ht="33" customHeight="1">
      <c r="B11" s="128" t="s">
        <v>169</v>
      </c>
      <c r="C11" s="129"/>
      <c r="D11" s="130"/>
      <c r="E11" s="137" t="s">
        <v>170</v>
      </c>
      <c r="F11" s="138"/>
      <c r="G11" s="138"/>
      <c r="H11" s="138"/>
      <c r="I11" s="138"/>
      <c r="J11" s="138"/>
      <c r="K11" s="139"/>
    </row>
    <row r="12" spans="2:18" ht="7.5" customHeight="1">
      <c r="B12" s="21"/>
      <c r="C12" s="21"/>
      <c r="D12" s="21"/>
      <c r="E12" s="6"/>
      <c r="F12" s="5"/>
      <c r="G12" s="5"/>
      <c r="H12" s="5"/>
      <c r="I12" s="5"/>
      <c r="J12" s="5"/>
      <c r="K12" s="5"/>
    </row>
    <row r="13" spans="2:18" ht="89.25" customHeight="1">
      <c r="B13" s="128" t="s">
        <v>32</v>
      </c>
      <c r="C13" s="129"/>
      <c r="D13" s="130"/>
      <c r="E13" s="140" t="s">
        <v>198</v>
      </c>
      <c r="F13" s="141"/>
      <c r="G13" s="141"/>
      <c r="H13" s="141"/>
      <c r="I13" s="141"/>
      <c r="J13" s="141"/>
      <c r="K13" s="142"/>
    </row>
    <row r="14" spans="2:18" ht="7.5" customHeight="1">
      <c r="B14" s="23"/>
      <c r="C14" s="23"/>
      <c r="D14" s="23"/>
      <c r="E14" s="5"/>
      <c r="F14" s="5"/>
      <c r="G14" s="5"/>
      <c r="H14" s="5"/>
      <c r="I14" s="5"/>
      <c r="J14" s="5"/>
      <c r="K14" s="5"/>
    </row>
    <row r="15" spans="2:18" ht="74.25" customHeight="1">
      <c r="B15" s="128" t="s">
        <v>33</v>
      </c>
      <c r="C15" s="129"/>
      <c r="D15" s="130"/>
      <c r="E15" s="131" t="s">
        <v>172</v>
      </c>
      <c r="F15" s="132"/>
      <c r="G15" s="132"/>
      <c r="H15" s="132"/>
      <c r="I15" s="132"/>
      <c r="J15" s="132"/>
      <c r="K15" s="133"/>
    </row>
    <row r="16" spans="2:18" ht="23.25" customHeight="1" thickBot="1">
      <c r="J16" s="1"/>
    </row>
    <row r="17" spans="2:14" ht="15.6" thickTop="1" thickBot="1">
      <c r="B17" s="4" t="s">
        <v>215</v>
      </c>
      <c r="I17" s="2"/>
      <c r="J17" s="25">
        <f>SUM(J19:J22)</f>
        <v>0.48808333333333331</v>
      </c>
    </row>
    <row r="18" spans="2:14" s="7" customFormat="1" ht="11.25" customHeight="1" thickTop="1" thickBot="1">
      <c r="B18" s="28"/>
      <c r="C18" s="29"/>
      <c r="D18" s="29"/>
      <c r="N18" s="20"/>
    </row>
    <row r="19" spans="2:14" ht="15.6" thickTop="1" thickBot="1">
      <c r="B19" t="s">
        <v>34</v>
      </c>
      <c r="I19" s="2"/>
      <c r="J19" s="26">
        <f>'A - Didaktiniai kriterijai'!F44</f>
        <v>0.13500000000000001</v>
      </c>
      <c r="K19" s="24" t="s">
        <v>38</v>
      </c>
    </row>
    <row r="20" spans="2:14" ht="15.6" thickTop="1" thickBot="1">
      <c r="B20" t="s">
        <v>35</v>
      </c>
      <c r="I20" s="2"/>
      <c r="J20" s="27">
        <f>'B - Informacinės technologijos'!F31</f>
        <v>0.1575</v>
      </c>
      <c r="K20" s="24" t="s">
        <v>39</v>
      </c>
    </row>
    <row r="21" spans="2:14" ht="15.6" thickTop="1" thickBot="1">
      <c r="B21" t="s">
        <v>36</v>
      </c>
      <c r="I21" s="2"/>
      <c r="J21" s="27">
        <f>'C - Struktūra ir dizainas'!F36</f>
        <v>0.10466666666666667</v>
      </c>
      <c r="K21" s="24" t="s">
        <v>40</v>
      </c>
    </row>
    <row r="22" spans="2:14" ht="15.6" thickTop="1" thickBot="1">
      <c r="B22" t="s">
        <v>37</v>
      </c>
      <c r="I22" s="2"/>
      <c r="J22" s="27">
        <f>'D - Mokymosi organizavimas'!F24</f>
        <v>9.0916666666666673E-2</v>
      </c>
      <c r="K22" s="24" t="s">
        <v>40</v>
      </c>
    </row>
    <row r="23" spans="2:14" ht="15" thickTop="1"/>
    <row r="24" spans="2:14" ht="15.6" hidden="1" thickTop="1" thickBot="1">
      <c r="B24" s="4" t="s">
        <v>216</v>
      </c>
      <c r="J24" s="46">
        <f>SUM(J26:J29)</f>
        <v>0.84466666666666657</v>
      </c>
    </row>
    <row r="25" spans="2:14" ht="8.25" hidden="1" customHeight="1" thickTop="1" thickBot="1"/>
    <row r="26" spans="2:14" ht="15.6" hidden="1" thickTop="1" thickBot="1">
      <c r="B26" t="s">
        <v>34</v>
      </c>
      <c r="I26" s="2"/>
      <c r="J26" s="26">
        <f>'A - Didaktiniai kriterijai'!G44</f>
        <v>0.25833333333333336</v>
      </c>
      <c r="K26" s="24" t="s">
        <v>39</v>
      </c>
    </row>
    <row r="27" spans="2:14" ht="15.6" hidden="1" thickTop="1" thickBot="1">
      <c r="B27" t="s">
        <v>35</v>
      </c>
      <c r="I27" s="2"/>
      <c r="J27" s="27">
        <f>'B - Informacinės technologijos'!G31</f>
        <v>0.248</v>
      </c>
      <c r="K27" s="24" t="s">
        <v>39</v>
      </c>
    </row>
    <row r="28" spans="2:14" ht="15.6" hidden="1" thickTop="1" thickBot="1">
      <c r="B28" t="s">
        <v>36</v>
      </c>
      <c r="I28" s="2"/>
      <c r="J28" s="27">
        <f>'C - Struktūra ir dizainas'!G36</f>
        <v>0.16399999999999998</v>
      </c>
      <c r="K28" s="24" t="s">
        <v>40</v>
      </c>
    </row>
    <row r="29" spans="2:14" ht="15.6" hidden="1" thickTop="1" thickBot="1">
      <c r="B29" t="s">
        <v>37</v>
      </c>
      <c r="I29" s="2"/>
      <c r="J29" s="27">
        <f>'D - Mokymosi organizavimas'!G24</f>
        <v>0.17433333333333334</v>
      </c>
      <c r="K29" s="24" t="s">
        <v>40</v>
      </c>
    </row>
  </sheetData>
  <mergeCells count="20">
    <mergeCell ref="B8:D8"/>
    <mergeCell ref="E8:J8"/>
    <mergeCell ref="B6:D7"/>
    <mergeCell ref="E3:K3"/>
    <mergeCell ref="B2:K2"/>
    <mergeCell ref="B3:D3"/>
    <mergeCell ref="B5:D5"/>
    <mergeCell ref="E5:K5"/>
    <mergeCell ref="B15:D15"/>
    <mergeCell ref="E15:K15"/>
    <mergeCell ref="B9:K9"/>
    <mergeCell ref="B11:D11"/>
    <mergeCell ref="E11:K11"/>
    <mergeCell ref="B13:D13"/>
    <mergeCell ref="E13:K13"/>
    <mergeCell ref="B4:D4"/>
    <mergeCell ref="E4:K4"/>
    <mergeCell ref="E6:K6"/>
    <mergeCell ref="E7:K7"/>
    <mergeCell ref="C1:K1"/>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O47"/>
  <sheetViews>
    <sheetView zoomScaleNormal="100" zoomScalePageLayoutView="90" workbookViewId="0">
      <selection activeCell="L1" sqref="L1:L1048576"/>
    </sheetView>
  </sheetViews>
  <sheetFormatPr defaultColWidth="34.5546875" defaultRowHeight="14.4"/>
  <cols>
    <col min="1" max="1" width="4.44140625" style="9" customWidth="1"/>
    <col min="2" max="2" width="40.44140625" style="8" customWidth="1"/>
    <col min="3" max="3" width="17" style="9" customWidth="1"/>
    <col min="4" max="4" width="15.88671875" style="9" hidden="1" customWidth="1"/>
    <col min="5" max="5" width="0.33203125" style="10" hidden="1" customWidth="1"/>
    <col min="6" max="6" width="11.88671875" style="9" customWidth="1"/>
    <col min="7" max="7" width="10" style="9" hidden="1" customWidth="1"/>
    <col min="8" max="8" width="6.88671875" style="9" customWidth="1"/>
    <col min="9" max="9" width="3.5546875" style="9" customWidth="1"/>
    <col min="10" max="10" width="37.109375" style="9" customWidth="1"/>
    <col min="11" max="11" width="23.6640625" style="9" customWidth="1"/>
    <col min="12" max="12" width="32.109375" style="9" hidden="1" customWidth="1"/>
    <col min="13" max="13" width="3" style="9" customWidth="1"/>
    <col min="14" max="14" width="34.5546875" style="9" hidden="1" customWidth="1"/>
    <col min="15" max="15" width="0" style="9" hidden="1" customWidth="1"/>
    <col min="16" max="16384" width="34.5546875" style="9"/>
  </cols>
  <sheetData>
    <row r="1" spans="1:15" s="17" customFormat="1">
      <c r="A1" s="30" t="s">
        <v>41</v>
      </c>
      <c r="B1" s="16"/>
      <c r="E1" s="18"/>
    </row>
    <row r="2" spans="1:15" ht="76.5" customHeight="1">
      <c r="A2" s="57" t="s">
        <v>21</v>
      </c>
      <c r="B2" s="58"/>
      <c r="C2" s="100" t="s">
        <v>217</v>
      </c>
      <c r="D2" s="59" t="s">
        <v>218</v>
      </c>
      <c r="E2" s="111" t="s">
        <v>6</v>
      </c>
      <c r="F2" s="100" t="s">
        <v>219</v>
      </c>
      <c r="G2" s="59" t="s">
        <v>220</v>
      </c>
      <c r="H2" s="60"/>
      <c r="I2" s="60"/>
      <c r="J2" s="101" t="s">
        <v>221</v>
      </c>
      <c r="K2" s="117" t="s">
        <v>222</v>
      </c>
      <c r="L2" s="59" t="s">
        <v>191</v>
      </c>
    </row>
    <row r="3" spans="1:15" ht="31.5" customHeight="1">
      <c r="A3" s="56" t="s">
        <v>0</v>
      </c>
      <c r="B3" s="170" t="s">
        <v>42</v>
      </c>
      <c r="C3" s="171"/>
      <c r="D3" s="171"/>
      <c r="E3" s="171"/>
      <c r="F3" s="171"/>
      <c r="G3" s="171"/>
      <c r="I3" s="9" t="s">
        <v>0</v>
      </c>
      <c r="J3" s="174" t="s">
        <v>225</v>
      </c>
      <c r="K3" s="178" t="s">
        <v>227</v>
      </c>
      <c r="L3" s="175" t="s">
        <v>236</v>
      </c>
      <c r="N3" s="49" t="s">
        <v>25</v>
      </c>
      <c r="O3" s="96" t="s">
        <v>80</v>
      </c>
    </row>
    <row r="4" spans="1:15" s="31" customFormat="1" ht="38.25" customHeight="1">
      <c r="A4" s="36">
        <v>1</v>
      </c>
      <c r="B4" s="37" t="s">
        <v>42</v>
      </c>
      <c r="C4" s="85" t="s">
        <v>82</v>
      </c>
      <c r="D4" s="85" t="s">
        <v>83</v>
      </c>
      <c r="E4" s="32">
        <f>1.5/100</f>
        <v>1.4999999999999999E-2</v>
      </c>
      <c r="F4" s="50">
        <f>IF(C4="0 - netaikoma",0*$E4,IF(C4="1 -  planuota, bet neįgyvendinta",1*$E4/3,IF(C4="2 - dalinai įgyvendinta",2*$E4/3,$E4)))</f>
        <v>0.01</v>
      </c>
      <c r="G4" s="51">
        <f>IF(D4="0 - netaikoma",0*$E4,IF(D4="1 -  planuota, bet neįgyvendinta",1*$E4/3,IF(D4="2 - dalinai įgyvendinta",2*$E4/3,$E4)))</f>
        <v>1.4999999999999999E-2</v>
      </c>
      <c r="J4" s="174"/>
      <c r="K4" s="178"/>
      <c r="L4" s="176"/>
      <c r="N4" s="49" t="s">
        <v>26</v>
      </c>
      <c r="O4" s="96" t="s">
        <v>81</v>
      </c>
    </row>
    <row r="5" spans="1:15" s="31" customFormat="1" ht="28.5" customHeight="1">
      <c r="A5" s="36">
        <v>2</v>
      </c>
      <c r="B5" s="37" t="s">
        <v>43</v>
      </c>
      <c r="C5" s="85" t="s">
        <v>82</v>
      </c>
      <c r="D5" s="85" t="s">
        <v>83</v>
      </c>
      <c r="E5" s="32">
        <f>1.5/100</f>
        <v>1.4999999999999999E-2</v>
      </c>
      <c r="F5" s="50">
        <f t="shared" ref="F5:F6" si="0">IF(C5="0 - netaikoma",0*$E5,IF(C5="1 -  planuota, bet neįgyvendinta",1*$E5/3,IF(C5="2 - dalinai įgyvendinta",2*$E5/3,$E5)))</f>
        <v>0.01</v>
      </c>
      <c r="G5" s="51">
        <f t="shared" ref="G5:G6" si="1">IF(D5="0 - netaikoma",0*$E5,IF(D5="1 -  planuota, bet neįgyvendinta",1*$E5/3,IF(D5="2 - dalinai įgyvendinta",2*$E5/3,$E5)))</f>
        <v>1.4999999999999999E-2</v>
      </c>
      <c r="J5" s="174"/>
      <c r="K5" s="178"/>
      <c r="L5" s="176"/>
      <c r="N5" s="49" t="s">
        <v>27</v>
      </c>
      <c r="O5" s="96" t="s">
        <v>82</v>
      </c>
    </row>
    <row r="6" spans="1:15" s="31" customFormat="1" ht="63" customHeight="1">
      <c r="A6" s="36">
        <v>3</v>
      </c>
      <c r="B6" s="38" t="s">
        <v>44</v>
      </c>
      <c r="C6" s="85" t="s">
        <v>82</v>
      </c>
      <c r="D6" s="85" t="s">
        <v>83</v>
      </c>
      <c r="E6" s="32">
        <f>2/100</f>
        <v>0.02</v>
      </c>
      <c r="F6" s="50">
        <f t="shared" si="0"/>
        <v>1.3333333333333334E-2</v>
      </c>
      <c r="G6" s="51">
        <f t="shared" si="1"/>
        <v>0.02</v>
      </c>
      <c r="J6" s="174"/>
      <c r="K6" s="178"/>
      <c r="L6" s="177"/>
      <c r="N6" s="49" t="s">
        <v>28</v>
      </c>
      <c r="O6" s="96" t="s">
        <v>83</v>
      </c>
    </row>
    <row r="7" spans="1:15" ht="17.25" customHeight="1">
      <c r="A7" s="35" t="s">
        <v>5</v>
      </c>
      <c r="B7" s="12"/>
      <c r="C7" s="162" t="s">
        <v>60</v>
      </c>
      <c r="D7" s="163"/>
      <c r="E7" s="164"/>
      <c r="F7" s="19">
        <f>SUM(F4:F6)</f>
        <v>3.3333333333333333E-2</v>
      </c>
      <c r="G7" s="19">
        <f>SUM(G4:G6)</f>
        <v>0.05</v>
      </c>
      <c r="H7" s="63" t="s">
        <v>196</v>
      </c>
      <c r="I7" s="62"/>
      <c r="J7" s="71"/>
      <c r="K7" s="71"/>
      <c r="L7" s="72"/>
    </row>
    <row r="8" spans="1:15">
      <c r="A8" s="34" t="s">
        <v>1</v>
      </c>
      <c r="B8" s="75" t="s">
        <v>45</v>
      </c>
      <c r="C8" s="60"/>
      <c r="D8" s="73"/>
      <c r="E8" s="82"/>
      <c r="F8" s="70"/>
      <c r="G8" s="70"/>
      <c r="I8" s="9" t="s">
        <v>1</v>
      </c>
      <c r="J8" s="165" t="s">
        <v>226</v>
      </c>
      <c r="K8" s="165" t="s">
        <v>228</v>
      </c>
      <c r="L8" s="165" t="s">
        <v>236</v>
      </c>
    </row>
    <row r="9" spans="1:15" ht="28.5" customHeight="1">
      <c r="A9" s="35">
        <v>1</v>
      </c>
      <c r="B9" s="37" t="s">
        <v>46</v>
      </c>
      <c r="C9" s="85" t="s">
        <v>82</v>
      </c>
      <c r="D9" s="85" t="s">
        <v>83</v>
      </c>
      <c r="E9" s="32">
        <f>2*0.5/100</f>
        <v>0.01</v>
      </c>
      <c r="F9" s="50">
        <f t="shared" ref="F9:F14" si="2">IF(C9="0 - netaikoma",0*$E9,IF(C9="1 -  planuota, bet neįgyvendinta",1*$E9/3,IF(C9="2 - dalinai įgyvendinta",2*$E9/3,$E9)))</f>
        <v>6.6666666666666671E-3</v>
      </c>
      <c r="G9" s="51">
        <f t="shared" ref="G9:G14" si="3">IF(D9="0 - netaikoma",0*$E9,IF(D9="1 -  planuota, bet neįgyvendinta",1*$E9/3,IF(D9="2 - dalinai įgyvendinta",2*$E9/3,$E9)))</f>
        <v>0.01</v>
      </c>
      <c r="J9" s="166"/>
      <c r="K9" s="166"/>
      <c r="L9" s="166"/>
    </row>
    <row r="10" spans="1:15" ht="27.6">
      <c r="A10" s="35">
        <v>2</v>
      </c>
      <c r="B10" s="37" t="s">
        <v>47</v>
      </c>
      <c r="C10" s="85" t="s">
        <v>82</v>
      </c>
      <c r="D10" s="85" t="s">
        <v>83</v>
      </c>
      <c r="E10" s="32">
        <f>0.5/100</f>
        <v>5.0000000000000001E-3</v>
      </c>
      <c r="F10" s="50">
        <f t="shared" si="2"/>
        <v>3.3333333333333335E-3</v>
      </c>
      <c r="G10" s="51">
        <f t="shared" si="3"/>
        <v>5.0000000000000001E-3</v>
      </c>
      <c r="J10" s="166"/>
      <c r="K10" s="166"/>
      <c r="L10" s="166"/>
    </row>
    <row r="11" spans="1:15" ht="27.6">
      <c r="A11" s="35">
        <v>3</v>
      </c>
      <c r="B11" s="38" t="s">
        <v>48</v>
      </c>
      <c r="C11" s="85" t="s">
        <v>82</v>
      </c>
      <c r="D11" s="85" t="s">
        <v>83</v>
      </c>
      <c r="E11" s="32">
        <f t="shared" ref="E11:E13" si="4">2*0.5/100</f>
        <v>0.01</v>
      </c>
      <c r="F11" s="50">
        <f t="shared" si="2"/>
        <v>6.6666666666666671E-3</v>
      </c>
      <c r="G11" s="51">
        <f t="shared" si="3"/>
        <v>0.01</v>
      </c>
      <c r="J11" s="166"/>
      <c r="K11" s="166"/>
      <c r="L11" s="166"/>
    </row>
    <row r="12" spans="1:15" ht="27.6">
      <c r="A12" s="35">
        <v>4</v>
      </c>
      <c r="B12" s="38" t="s">
        <v>49</v>
      </c>
      <c r="C12" s="85" t="s">
        <v>82</v>
      </c>
      <c r="D12" s="85" t="s">
        <v>83</v>
      </c>
      <c r="E12" s="32">
        <f t="shared" si="4"/>
        <v>0.01</v>
      </c>
      <c r="F12" s="50">
        <f t="shared" si="2"/>
        <v>6.6666666666666671E-3</v>
      </c>
      <c r="G12" s="51">
        <f t="shared" si="3"/>
        <v>0.01</v>
      </c>
      <c r="J12" s="166"/>
      <c r="K12" s="166"/>
      <c r="L12" s="166"/>
    </row>
    <row r="13" spans="1:15" ht="33.75" customHeight="1">
      <c r="A13" s="35">
        <v>5</v>
      </c>
      <c r="B13" s="38" t="s">
        <v>50</v>
      </c>
      <c r="C13" s="85" t="s">
        <v>82</v>
      </c>
      <c r="D13" s="85" t="s">
        <v>83</v>
      </c>
      <c r="E13" s="32">
        <f t="shared" si="4"/>
        <v>0.01</v>
      </c>
      <c r="F13" s="50">
        <f t="shared" si="2"/>
        <v>6.6666666666666671E-3</v>
      </c>
      <c r="G13" s="51">
        <f t="shared" si="3"/>
        <v>0.01</v>
      </c>
      <c r="J13" s="166"/>
      <c r="K13" s="166"/>
      <c r="L13" s="166"/>
    </row>
    <row r="14" spans="1:15" ht="41.25" customHeight="1">
      <c r="A14" s="35">
        <v>6</v>
      </c>
      <c r="B14" s="38" t="s">
        <v>51</v>
      </c>
      <c r="C14" s="85" t="s">
        <v>82</v>
      </c>
      <c r="D14" s="85" t="s">
        <v>83</v>
      </c>
      <c r="E14" s="32">
        <f>0.5/100</f>
        <v>5.0000000000000001E-3</v>
      </c>
      <c r="F14" s="50">
        <f t="shared" si="2"/>
        <v>3.3333333333333335E-3</v>
      </c>
      <c r="G14" s="51">
        <f t="shared" si="3"/>
        <v>5.0000000000000001E-3</v>
      </c>
      <c r="J14" s="167"/>
      <c r="K14" s="167"/>
      <c r="L14" s="167"/>
    </row>
    <row r="15" spans="1:15">
      <c r="A15" s="35" t="s">
        <v>5</v>
      </c>
      <c r="B15" s="12"/>
      <c r="C15" s="162" t="s">
        <v>61</v>
      </c>
      <c r="D15" s="163"/>
      <c r="E15" s="164"/>
      <c r="F15" s="19">
        <f>SUM(F9:F14)</f>
        <v>3.3333333333333333E-2</v>
      </c>
      <c r="G15" s="19">
        <f>SUM(G9:G14)</f>
        <v>0.05</v>
      </c>
      <c r="H15" s="63" t="s">
        <v>196</v>
      </c>
      <c r="I15" s="62"/>
      <c r="J15" s="71"/>
      <c r="K15" s="71"/>
      <c r="L15" s="71"/>
    </row>
    <row r="16" spans="1:15" ht="21.75" customHeight="1">
      <c r="A16" s="34" t="s">
        <v>2</v>
      </c>
      <c r="B16" s="75" t="s">
        <v>52</v>
      </c>
      <c r="C16" s="60"/>
      <c r="D16" s="60"/>
      <c r="E16" s="70"/>
      <c r="F16" s="70"/>
      <c r="G16" s="70"/>
      <c r="I16" s="9" t="s">
        <v>2</v>
      </c>
      <c r="J16" s="165" t="s">
        <v>229</v>
      </c>
      <c r="K16" s="165" t="s">
        <v>230</v>
      </c>
      <c r="L16" s="165" t="s">
        <v>237</v>
      </c>
    </row>
    <row r="17" spans="1:12" ht="30" customHeight="1">
      <c r="A17" s="35">
        <v>1</v>
      </c>
      <c r="B17" s="37" t="s">
        <v>53</v>
      </c>
      <c r="C17" s="85" t="s">
        <v>80</v>
      </c>
      <c r="D17" s="85" t="s">
        <v>82</v>
      </c>
      <c r="E17" s="32">
        <f>0.2*0.05</f>
        <v>1.0000000000000002E-2</v>
      </c>
      <c r="F17" s="50">
        <f t="shared" ref="F17:F24" si="5">IF(C17="0 - netaikoma",0*$E17,IF(C17="1 -  planuota, bet neįgyvendinta",1*$E17/3,IF(C17="2 - dalinai įgyvendinta",2*$E17/3,$E17)))</f>
        <v>0</v>
      </c>
      <c r="G17" s="51">
        <f t="shared" ref="G17:G24" si="6">IF(D17="0 - netaikoma",0*$E17,IF(D17="1 -  planuota, bet neįgyvendinta",1*$E17/3,IF(D17="2 - dalinai įgyvendinta",2*$E17/3,$E17)))</f>
        <v>6.666666666666668E-3</v>
      </c>
      <c r="J17" s="166"/>
      <c r="K17" s="166"/>
      <c r="L17" s="166"/>
    </row>
    <row r="18" spans="1:12" ht="41.4">
      <c r="A18" s="35">
        <v>2</v>
      </c>
      <c r="B18" s="37" t="s">
        <v>54</v>
      </c>
      <c r="C18" s="85" t="s">
        <v>80</v>
      </c>
      <c r="D18" s="85" t="s">
        <v>82</v>
      </c>
      <c r="E18" s="32">
        <f>0.1*0.05</f>
        <v>5.000000000000001E-3</v>
      </c>
      <c r="F18" s="50">
        <f t="shared" si="5"/>
        <v>0</v>
      </c>
      <c r="G18" s="51">
        <f t="shared" si="6"/>
        <v>3.333333333333334E-3</v>
      </c>
      <c r="J18" s="166"/>
      <c r="K18" s="166"/>
      <c r="L18" s="166"/>
    </row>
    <row r="19" spans="1:12" ht="30" customHeight="1">
      <c r="A19" s="35">
        <v>3</v>
      </c>
      <c r="B19" s="37" t="s">
        <v>55</v>
      </c>
      <c r="C19" s="85" t="s">
        <v>80</v>
      </c>
      <c r="D19" s="85" t="s">
        <v>82</v>
      </c>
      <c r="E19" s="32">
        <f t="shared" ref="E19:E24" si="7">0.1*0.05</f>
        <v>5.000000000000001E-3</v>
      </c>
      <c r="F19" s="50">
        <f t="shared" si="5"/>
        <v>0</v>
      </c>
      <c r="G19" s="51">
        <f t="shared" si="6"/>
        <v>3.333333333333334E-3</v>
      </c>
      <c r="J19" s="166"/>
      <c r="K19" s="166"/>
      <c r="L19" s="166"/>
    </row>
    <row r="20" spans="1:12" ht="27.6">
      <c r="A20" s="35">
        <v>4</v>
      </c>
      <c r="B20" s="37" t="s">
        <v>173</v>
      </c>
      <c r="C20" s="85" t="s">
        <v>80</v>
      </c>
      <c r="D20" s="85" t="s">
        <v>82</v>
      </c>
      <c r="E20" s="32">
        <f t="shared" si="7"/>
        <v>5.000000000000001E-3</v>
      </c>
      <c r="F20" s="50">
        <f t="shared" si="5"/>
        <v>0</v>
      </c>
      <c r="G20" s="51">
        <f t="shared" si="6"/>
        <v>3.333333333333334E-3</v>
      </c>
      <c r="J20" s="166"/>
      <c r="K20" s="166"/>
      <c r="L20" s="166"/>
    </row>
    <row r="21" spans="1:12" ht="27.6">
      <c r="A21" s="35">
        <v>5</v>
      </c>
      <c r="B21" s="37" t="s">
        <v>56</v>
      </c>
      <c r="C21" s="85" t="s">
        <v>82</v>
      </c>
      <c r="D21" s="85" t="s">
        <v>82</v>
      </c>
      <c r="E21" s="32">
        <f t="shared" si="7"/>
        <v>5.000000000000001E-3</v>
      </c>
      <c r="F21" s="50">
        <f t="shared" si="5"/>
        <v>3.333333333333334E-3</v>
      </c>
      <c r="G21" s="51">
        <f t="shared" si="6"/>
        <v>3.333333333333334E-3</v>
      </c>
      <c r="J21" s="166"/>
      <c r="K21" s="166"/>
      <c r="L21" s="166"/>
    </row>
    <row r="22" spans="1:12" ht="27.6">
      <c r="A22" s="35">
        <v>6</v>
      </c>
      <c r="B22" s="37" t="s">
        <v>57</v>
      </c>
      <c r="C22" s="85" t="s">
        <v>80</v>
      </c>
      <c r="D22" s="85" t="s">
        <v>82</v>
      </c>
      <c r="E22" s="32">
        <f>0.2*0.05</f>
        <v>1.0000000000000002E-2</v>
      </c>
      <c r="F22" s="50">
        <f t="shared" si="5"/>
        <v>0</v>
      </c>
      <c r="G22" s="51">
        <f t="shared" si="6"/>
        <v>6.666666666666668E-3</v>
      </c>
      <c r="J22" s="166"/>
      <c r="K22" s="166"/>
      <c r="L22" s="166"/>
    </row>
    <row r="23" spans="1:12" ht="41.4">
      <c r="A23" s="35">
        <v>7</v>
      </c>
      <c r="B23" s="37" t="s">
        <v>58</v>
      </c>
      <c r="C23" s="85" t="s">
        <v>82</v>
      </c>
      <c r="D23" s="85" t="s">
        <v>82</v>
      </c>
      <c r="E23" s="32">
        <f t="shared" si="7"/>
        <v>5.000000000000001E-3</v>
      </c>
      <c r="F23" s="50">
        <f t="shared" si="5"/>
        <v>3.333333333333334E-3</v>
      </c>
      <c r="G23" s="51">
        <f t="shared" si="6"/>
        <v>3.333333333333334E-3</v>
      </c>
      <c r="J23" s="166"/>
      <c r="K23" s="166"/>
      <c r="L23" s="166"/>
    </row>
    <row r="24" spans="1:12" ht="29.25" customHeight="1">
      <c r="A24" s="35">
        <v>8</v>
      </c>
      <c r="B24" s="37" t="s">
        <v>59</v>
      </c>
      <c r="C24" s="85" t="s">
        <v>80</v>
      </c>
      <c r="D24" s="85" t="s">
        <v>82</v>
      </c>
      <c r="E24" s="32">
        <f t="shared" si="7"/>
        <v>5.000000000000001E-3</v>
      </c>
      <c r="F24" s="50">
        <f t="shared" si="5"/>
        <v>0</v>
      </c>
      <c r="G24" s="51">
        <f t="shared" si="6"/>
        <v>3.333333333333334E-3</v>
      </c>
      <c r="J24" s="167"/>
      <c r="K24" s="167"/>
      <c r="L24" s="167"/>
    </row>
    <row r="25" spans="1:12">
      <c r="A25" s="35" t="s">
        <v>5</v>
      </c>
      <c r="B25" s="12"/>
      <c r="C25" s="162" t="s">
        <v>62</v>
      </c>
      <c r="D25" s="163"/>
      <c r="E25" s="164"/>
      <c r="F25" s="19">
        <f>SUM(F17:F24)</f>
        <v>6.666666666666668E-3</v>
      </c>
      <c r="G25" s="19">
        <f>SUM(G17:G24)</f>
        <v>3.333333333333334E-2</v>
      </c>
      <c r="H25" s="63" t="s">
        <v>196</v>
      </c>
      <c r="I25" s="62"/>
      <c r="J25" s="71"/>
      <c r="K25" s="71"/>
      <c r="L25" s="71"/>
    </row>
    <row r="26" spans="1:12" ht="31.5" customHeight="1">
      <c r="A26" s="34" t="s">
        <v>3</v>
      </c>
      <c r="B26" s="170" t="s">
        <v>66</v>
      </c>
      <c r="C26" s="171"/>
      <c r="D26" s="171"/>
      <c r="E26" s="171"/>
      <c r="F26" s="171"/>
      <c r="G26" s="171"/>
      <c r="I26" s="9" t="s">
        <v>3</v>
      </c>
      <c r="J26" s="165" t="s">
        <v>231</v>
      </c>
      <c r="K26" s="165" t="s">
        <v>232</v>
      </c>
      <c r="L26" s="165" t="s">
        <v>236</v>
      </c>
    </row>
    <row r="27" spans="1:12" ht="41.4">
      <c r="A27" s="35">
        <v>1</v>
      </c>
      <c r="B27" s="37" t="s">
        <v>67</v>
      </c>
      <c r="C27" s="85" t="s">
        <v>82</v>
      </c>
      <c r="D27" s="85" t="s">
        <v>83</v>
      </c>
      <c r="E27" s="55">
        <f>0.4*0.05</f>
        <v>2.0000000000000004E-2</v>
      </c>
      <c r="F27" s="50">
        <f>IF(C27="0 - netaikoma",0*$E27,IF(C27="1 -  planuota, bet neįgyvendinta",1*$E27/3,IF(C27="2 - dalinai įgyvendinta",2*$E27/3,$E27)))</f>
        <v>1.3333333333333336E-2</v>
      </c>
      <c r="G27" s="51">
        <f t="shared" ref="G27:G29" si="8">IF(D27="0 - netaikoma",0*$E27,IF(D27="1 -  planuota, bet neįgyvendinta",1*$E27/3,IF(D27="2 - dalinai įgyvendinta",2*$E27/3,$E27)))</f>
        <v>2.0000000000000004E-2</v>
      </c>
      <c r="J27" s="166"/>
      <c r="K27" s="166"/>
      <c r="L27" s="166"/>
    </row>
    <row r="28" spans="1:12" ht="41.4">
      <c r="A28" s="35">
        <v>2</v>
      </c>
      <c r="B28" s="37" t="s">
        <v>68</v>
      </c>
      <c r="C28" s="85" t="s">
        <v>82</v>
      </c>
      <c r="D28" s="85" t="s">
        <v>83</v>
      </c>
      <c r="E28" s="55">
        <f>0.3*0.05</f>
        <v>1.4999999999999999E-2</v>
      </c>
      <c r="F28" s="50">
        <f t="shared" ref="F28:F29" si="9">IF(C28="0 - netaikoma",0*$E28,IF(C28="1 -  planuota, bet neįgyvendinta",1*$E28/3,IF(C28="2 - dalinai įgyvendinta",2*$E28/3,$E28)))</f>
        <v>0.01</v>
      </c>
      <c r="G28" s="51">
        <f t="shared" si="8"/>
        <v>1.4999999999999999E-2</v>
      </c>
      <c r="J28" s="166"/>
      <c r="K28" s="166"/>
      <c r="L28" s="166"/>
    </row>
    <row r="29" spans="1:12" ht="27.6">
      <c r="A29" s="35">
        <v>3</v>
      </c>
      <c r="B29" s="38" t="s">
        <v>69</v>
      </c>
      <c r="C29" s="85" t="s">
        <v>82</v>
      </c>
      <c r="D29" s="85" t="s">
        <v>82</v>
      </c>
      <c r="E29" s="55">
        <f>0.3*0.05</f>
        <v>1.4999999999999999E-2</v>
      </c>
      <c r="F29" s="50">
        <f t="shared" si="9"/>
        <v>0.01</v>
      </c>
      <c r="G29" s="51">
        <f t="shared" si="8"/>
        <v>0.01</v>
      </c>
      <c r="J29" s="167"/>
      <c r="K29" s="167"/>
      <c r="L29" s="167"/>
    </row>
    <row r="30" spans="1:12">
      <c r="A30" s="35" t="s">
        <v>5</v>
      </c>
      <c r="B30" s="12"/>
      <c r="C30" s="162" t="s">
        <v>63</v>
      </c>
      <c r="D30" s="163"/>
      <c r="E30" s="164"/>
      <c r="F30" s="19">
        <f>SUM(F27:F29)</f>
        <v>3.333333333333334E-2</v>
      </c>
      <c r="G30" s="19">
        <f>SUM(G27:G29)</f>
        <v>4.5000000000000005E-2</v>
      </c>
      <c r="H30" s="63" t="s">
        <v>196</v>
      </c>
      <c r="I30" s="62"/>
      <c r="J30" s="71"/>
      <c r="K30" s="71"/>
      <c r="L30" s="71"/>
    </row>
    <row r="31" spans="1:12" s="116" customFormat="1" ht="21" customHeight="1">
      <c r="A31" s="113" t="s">
        <v>4</v>
      </c>
      <c r="B31" s="112" t="s">
        <v>70</v>
      </c>
      <c r="C31" s="114"/>
      <c r="D31" s="114"/>
      <c r="E31" s="115"/>
      <c r="F31" s="115"/>
      <c r="G31" s="115"/>
      <c r="I31" s="116" t="s">
        <v>4</v>
      </c>
      <c r="J31" s="165" t="s">
        <v>233</v>
      </c>
      <c r="K31" s="165" t="s">
        <v>234</v>
      </c>
      <c r="L31" s="165" t="s">
        <v>237</v>
      </c>
    </row>
    <row r="32" spans="1:12" ht="31.5" customHeight="1">
      <c r="A32" s="35">
        <v>1</v>
      </c>
      <c r="B32" s="37" t="s">
        <v>71</v>
      </c>
      <c r="C32" s="85" t="s">
        <v>82</v>
      </c>
      <c r="D32" s="85" t="s">
        <v>81</v>
      </c>
      <c r="E32" s="32">
        <f>0.2*0.05</f>
        <v>1.0000000000000002E-2</v>
      </c>
      <c r="F32" s="50">
        <f>IF(C32="0 - netaikoma",0*$E32,IF(C32="1 -  planuota, bet neįgyvendinta",1*$E32/3,IF(C32="2 - dalinai įgyvendinta",2*$E32/3,$E32)))</f>
        <v>6.666666666666668E-3</v>
      </c>
      <c r="G32" s="51">
        <f t="shared" ref="G32:G36" si="10">IF(D32="0 - netaikoma",0*$E32,IF(D32="1 -  planuota, bet neįgyvendinta",1*$E32/3,IF(D32="2 - dalinai įgyvendinta",2*$E32/3,$E32)))</f>
        <v>3.333333333333334E-3</v>
      </c>
      <c r="J32" s="166"/>
      <c r="K32" s="166"/>
      <c r="L32" s="166"/>
    </row>
    <row r="33" spans="1:12" ht="30" customHeight="1">
      <c r="A33" s="35">
        <v>2</v>
      </c>
      <c r="B33" s="37" t="s">
        <v>72</v>
      </c>
      <c r="C33" s="85" t="s">
        <v>82</v>
      </c>
      <c r="D33" s="85" t="s">
        <v>83</v>
      </c>
      <c r="E33" s="32">
        <f>0.2*0.05</f>
        <v>1.0000000000000002E-2</v>
      </c>
      <c r="F33" s="50">
        <f t="shared" ref="F33:F36" si="11">IF(C33="0 - netaikoma",0*$E33,IF(C33="1 -  planuota, bet neįgyvendinta",1*$E33/3,IF(C33="2 - dalinai įgyvendinta",2*$E33/3,$E33)))</f>
        <v>6.666666666666668E-3</v>
      </c>
      <c r="G33" s="51">
        <f t="shared" si="10"/>
        <v>1.0000000000000002E-2</v>
      </c>
      <c r="J33" s="166"/>
      <c r="K33" s="166"/>
      <c r="L33" s="166"/>
    </row>
    <row r="34" spans="1:12" ht="27.75" customHeight="1">
      <c r="A34" s="35">
        <v>3</v>
      </c>
      <c r="B34" s="37" t="s">
        <v>174</v>
      </c>
      <c r="C34" s="85" t="s">
        <v>83</v>
      </c>
      <c r="D34" s="85" t="s">
        <v>83</v>
      </c>
      <c r="E34" s="32">
        <f>0.1*0.05</f>
        <v>5.000000000000001E-3</v>
      </c>
      <c r="F34" s="50">
        <f t="shared" si="11"/>
        <v>5.000000000000001E-3</v>
      </c>
      <c r="G34" s="51">
        <f t="shared" si="10"/>
        <v>5.000000000000001E-3</v>
      </c>
      <c r="J34" s="166"/>
      <c r="K34" s="166"/>
      <c r="L34" s="166"/>
    </row>
    <row r="35" spans="1:12" ht="27.75" customHeight="1">
      <c r="A35" s="35">
        <v>4</v>
      </c>
      <c r="B35" s="37" t="s">
        <v>73</v>
      </c>
      <c r="C35" s="85" t="s">
        <v>80</v>
      </c>
      <c r="D35" s="85" t="s">
        <v>81</v>
      </c>
      <c r="E35" s="32">
        <f>0.3*0.05</f>
        <v>1.4999999999999999E-2</v>
      </c>
      <c r="F35" s="50">
        <f t="shared" si="11"/>
        <v>0</v>
      </c>
      <c r="G35" s="51">
        <f t="shared" si="10"/>
        <v>5.0000000000000001E-3</v>
      </c>
      <c r="J35" s="166"/>
      <c r="K35" s="166"/>
      <c r="L35" s="166"/>
    </row>
    <row r="36" spans="1:12" ht="27.6">
      <c r="A36" s="35">
        <v>5</v>
      </c>
      <c r="B36" s="37" t="s">
        <v>74</v>
      </c>
      <c r="C36" s="85" t="s">
        <v>83</v>
      </c>
      <c r="D36" s="85" t="s">
        <v>82</v>
      </c>
      <c r="E36" s="32">
        <f>0.2*0.05</f>
        <v>1.0000000000000002E-2</v>
      </c>
      <c r="F36" s="50">
        <f t="shared" si="11"/>
        <v>1.0000000000000002E-2</v>
      </c>
      <c r="G36" s="51">
        <f t="shared" si="10"/>
        <v>6.666666666666668E-3</v>
      </c>
      <c r="J36" s="167"/>
      <c r="K36" s="167"/>
      <c r="L36" s="167"/>
    </row>
    <row r="37" spans="1:12">
      <c r="A37" s="35" t="s">
        <v>5</v>
      </c>
      <c r="B37" s="12"/>
      <c r="C37" s="162" t="s">
        <v>64</v>
      </c>
      <c r="D37" s="163"/>
      <c r="E37" s="164"/>
      <c r="F37" s="19">
        <f>SUM(F32:F36)</f>
        <v>2.8333333333333339E-2</v>
      </c>
      <c r="G37" s="19">
        <f>SUM(G32:G36)</f>
        <v>3.0000000000000006E-2</v>
      </c>
      <c r="H37" s="63" t="s">
        <v>196</v>
      </c>
      <c r="I37" s="62"/>
      <c r="J37" s="71"/>
      <c r="K37" s="71"/>
      <c r="L37" s="71"/>
    </row>
    <row r="38" spans="1:12" s="116" customFormat="1" ht="21" customHeight="1">
      <c r="A38" s="113" t="s">
        <v>19</v>
      </c>
      <c r="B38" s="172" t="s">
        <v>175</v>
      </c>
      <c r="C38" s="173"/>
      <c r="D38" s="173"/>
      <c r="E38" s="173"/>
      <c r="F38" s="173"/>
      <c r="G38" s="173"/>
      <c r="I38" s="116" t="s">
        <v>19</v>
      </c>
      <c r="J38" s="165" t="s">
        <v>235</v>
      </c>
      <c r="K38" s="165"/>
      <c r="L38" s="165" t="s">
        <v>235</v>
      </c>
    </row>
    <row r="39" spans="1:12" ht="30" customHeight="1">
      <c r="A39" s="35">
        <v>1</v>
      </c>
      <c r="B39" s="37" t="s">
        <v>75</v>
      </c>
      <c r="C39" s="85" t="s">
        <v>80</v>
      </c>
      <c r="D39" s="85" t="s">
        <v>83</v>
      </c>
      <c r="E39" s="32">
        <f>0.3*0.05</f>
        <v>1.4999999999999999E-2</v>
      </c>
      <c r="F39" s="50">
        <f>IF(C39="0 - netaikoma",0*$E39,IF(C39="1 -  planuota, bet neįgyvendinta",1*$E39/3,IF(C39="2 - dalinai įgyvendinta",2*$E39/3,$E39)))</f>
        <v>0</v>
      </c>
      <c r="G39" s="51">
        <f t="shared" ref="G39:G42" si="12">IF(D39="0 - netaikoma",0*$E39,IF(D39="1 -  planuota, bet neįgyvendinta",1*$E39/3,IF(D39="2 - dalinai įgyvendinta",2*$E39/3,$E39)))</f>
        <v>1.4999999999999999E-2</v>
      </c>
      <c r="J39" s="166"/>
      <c r="K39" s="166"/>
      <c r="L39" s="166"/>
    </row>
    <row r="40" spans="1:12" ht="40.5" customHeight="1">
      <c r="A40" s="35">
        <v>2</v>
      </c>
      <c r="B40" s="37" t="s">
        <v>76</v>
      </c>
      <c r="C40" s="85" t="s">
        <v>80</v>
      </c>
      <c r="D40" s="85" t="s">
        <v>83</v>
      </c>
      <c r="E40" s="32">
        <f t="shared" ref="E40:E41" si="13">0.2*0.05</f>
        <v>1.0000000000000002E-2</v>
      </c>
      <c r="F40" s="50">
        <f t="shared" ref="F40:F42" si="14">IF(C40="0 - netaikoma",0*$E40,IF(C40="1 -  planuota, bet neįgyvendinta",1*$E40/3,IF(C40="2 - dalinai įgyvendinta",2*$E40/3,$E40)))</f>
        <v>0</v>
      </c>
      <c r="G40" s="51">
        <f t="shared" si="12"/>
        <v>1.0000000000000002E-2</v>
      </c>
      <c r="J40" s="166"/>
      <c r="K40" s="166"/>
      <c r="L40" s="166"/>
    </row>
    <row r="41" spans="1:12" ht="44.25" customHeight="1">
      <c r="A41" s="35">
        <v>3</v>
      </c>
      <c r="B41" s="37" t="s">
        <v>77</v>
      </c>
      <c r="C41" s="85" t="s">
        <v>80</v>
      </c>
      <c r="D41" s="85" t="s">
        <v>83</v>
      </c>
      <c r="E41" s="32">
        <f t="shared" si="13"/>
        <v>1.0000000000000002E-2</v>
      </c>
      <c r="F41" s="50">
        <f t="shared" si="14"/>
        <v>0</v>
      </c>
      <c r="G41" s="51">
        <f t="shared" si="12"/>
        <v>1.0000000000000002E-2</v>
      </c>
      <c r="J41" s="166"/>
      <c r="K41" s="166"/>
      <c r="L41" s="166"/>
    </row>
    <row r="42" spans="1:12" ht="51.75" customHeight="1">
      <c r="A42" s="35">
        <v>4</v>
      </c>
      <c r="B42" s="37" t="s">
        <v>78</v>
      </c>
      <c r="C42" s="85" t="s">
        <v>80</v>
      </c>
      <c r="D42" s="85" t="s">
        <v>83</v>
      </c>
      <c r="E42" s="32">
        <f>0.3*0.05</f>
        <v>1.4999999999999999E-2</v>
      </c>
      <c r="F42" s="50">
        <f t="shared" si="14"/>
        <v>0</v>
      </c>
      <c r="G42" s="51">
        <f t="shared" si="12"/>
        <v>1.4999999999999999E-2</v>
      </c>
      <c r="J42" s="167"/>
      <c r="K42" s="167"/>
      <c r="L42" s="167"/>
    </row>
    <row r="43" spans="1:12" ht="15" thickBot="1">
      <c r="A43" s="35" t="s">
        <v>5</v>
      </c>
      <c r="B43" s="12"/>
      <c r="C43" s="162" t="s">
        <v>166</v>
      </c>
      <c r="D43" s="163"/>
      <c r="E43" s="164"/>
      <c r="F43" s="19">
        <f>SUM(F39:F42)</f>
        <v>0</v>
      </c>
      <c r="G43" s="19">
        <f>SUM(G39:G42)</f>
        <v>0.05</v>
      </c>
      <c r="H43" s="63" t="s">
        <v>196</v>
      </c>
      <c r="I43" s="63"/>
    </row>
    <row r="44" spans="1:12" ht="15" thickBot="1">
      <c r="C44" s="168" t="s">
        <v>165</v>
      </c>
      <c r="D44" s="168"/>
      <c r="F44" s="64">
        <f>SUM(F7,F15,F25,F30,F37,F43)</f>
        <v>0.13500000000000001</v>
      </c>
      <c r="G44" s="74">
        <f>SUM(G7,G15,G25,G30,G37,G43)</f>
        <v>0.25833333333333336</v>
      </c>
      <c r="H44" s="33"/>
    </row>
    <row r="45" spans="1:12">
      <c r="C45" s="169" t="s">
        <v>65</v>
      </c>
      <c r="D45" s="169"/>
      <c r="E45" s="40"/>
      <c r="F45" s="48">
        <v>30</v>
      </c>
      <c r="G45" s="41"/>
      <c r="H45" s="15"/>
    </row>
    <row r="47" spans="1:12" customFormat="1" ht="32.25" customHeight="1">
      <c r="A47" s="160" t="s">
        <v>134</v>
      </c>
      <c r="B47" s="160"/>
      <c r="C47" s="43"/>
      <c r="D47" s="161" t="s">
        <v>31</v>
      </c>
      <c r="E47" s="161"/>
      <c r="F47" s="161"/>
      <c r="G47" s="161"/>
      <c r="H47" s="161"/>
      <c r="I47" s="161"/>
      <c r="J47" s="161"/>
      <c r="K47" s="44"/>
      <c r="L47" s="43"/>
    </row>
  </sheetData>
  <sheetProtection password="CE28" sheet="1" objects="1" scenarios="1" formatRows="0"/>
  <mergeCells count="31">
    <mergeCell ref="B3:G3"/>
    <mergeCell ref="B26:G26"/>
    <mergeCell ref="B38:G38"/>
    <mergeCell ref="L26:L29"/>
    <mergeCell ref="L31:L36"/>
    <mergeCell ref="L38:L42"/>
    <mergeCell ref="J3:J6"/>
    <mergeCell ref="K8:K14"/>
    <mergeCell ref="K16:K24"/>
    <mergeCell ref="L3:L6"/>
    <mergeCell ref="L8:L14"/>
    <mergeCell ref="L16:L24"/>
    <mergeCell ref="K26:K29"/>
    <mergeCell ref="K31:K36"/>
    <mergeCell ref="K38:K42"/>
    <mergeCell ref="K3:K6"/>
    <mergeCell ref="A47:B47"/>
    <mergeCell ref="D47:J47"/>
    <mergeCell ref="C43:E43"/>
    <mergeCell ref="C7:E7"/>
    <mergeCell ref="C15:E15"/>
    <mergeCell ref="C25:E25"/>
    <mergeCell ref="C30:E30"/>
    <mergeCell ref="C37:E37"/>
    <mergeCell ref="J8:J14"/>
    <mergeCell ref="J16:J24"/>
    <mergeCell ref="J26:J29"/>
    <mergeCell ref="J31:J36"/>
    <mergeCell ref="J38:J42"/>
    <mergeCell ref="C44:D44"/>
    <mergeCell ref="C45:D45"/>
  </mergeCells>
  <dataValidations count="1">
    <dataValidation type="list" allowBlank="1" showInputMessage="1" showErrorMessage="1" sqref="C4:D6 C9:D14 C17:D24 C27:D29 C32:D36 C39:D42">
      <formula1>$O$3:$O$6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&amp;LAutorinės teisės&amp;CŠis produktas yra priskirtas kūrybinių bendrijų licencijai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zoomScaleNormal="100" workbookViewId="0">
      <selection activeCell="M1" sqref="M1:M1048576"/>
    </sheetView>
  </sheetViews>
  <sheetFormatPr defaultColWidth="34.5546875" defaultRowHeight="14.4"/>
  <cols>
    <col min="1" max="1" width="4.44140625" style="9" customWidth="1"/>
    <col min="2" max="2" width="37.5546875" style="8" customWidth="1"/>
    <col min="3" max="3" width="17.6640625" style="9" customWidth="1"/>
    <col min="4" max="4" width="17.6640625" style="10" hidden="1" customWidth="1"/>
    <col min="5" max="5" width="7.109375" style="10" hidden="1" customWidth="1"/>
    <col min="6" max="6" width="11.6640625" style="10" customWidth="1"/>
    <col min="7" max="7" width="9.88671875" style="10" hidden="1" customWidth="1"/>
    <col min="8" max="8" width="7.5546875" style="9" customWidth="1"/>
    <col min="9" max="9" width="3.5546875" style="9" customWidth="1"/>
    <col min="10" max="10" width="38.6640625" style="9" customWidth="1"/>
    <col min="11" max="11" width="22.6640625" style="9" customWidth="1"/>
    <col min="12" max="12" width="4.44140625" style="9" hidden="1" customWidth="1"/>
    <col min="13" max="13" width="26.44140625" style="9" hidden="1" customWidth="1"/>
    <col min="14" max="14" width="3" style="9" bestFit="1" customWidth="1"/>
    <col min="15" max="16384" width="34.5546875" style="9"/>
  </cols>
  <sheetData>
    <row r="1" spans="1:13" s="17" customFormat="1">
      <c r="A1" s="30" t="s">
        <v>79</v>
      </c>
      <c r="B1" s="16"/>
      <c r="D1" s="18"/>
      <c r="E1" s="18"/>
      <c r="F1" s="18"/>
      <c r="G1" s="18"/>
    </row>
    <row r="2" spans="1:13" ht="72.75" customHeight="1">
      <c r="A2" s="57" t="s">
        <v>21</v>
      </c>
      <c r="B2" s="58"/>
      <c r="C2" s="100" t="s">
        <v>217</v>
      </c>
      <c r="D2" s="59" t="s">
        <v>218</v>
      </c>
      <c r="E2" s="111" t="s">
        <v>6</v>
      </c>
      <c r="F2" s="100" t="s">
        <v>219</v>
      </c>
      <c r="G2" s="59" t="s">
        <v>220</v>
      </c>
      <c r="H2" s="60"/>
      <c r="I2" s="60"/>
      <c r="J2" s="101" t="s">
        <v>221</v>
      </c>
      <c r="K2" s="117" t="s">
        <v>222</v>
      </c>
      <c r="L2" s="59" t="s">
        <v>191</v>
      </c>
      <c r="M2" s="59" t="s">
        <v>191</v>
      </c>
    </row>
    <row r="3" spans="1:13" ht="27.75" customHeight="1">
      <c r="A3" s="56" t="s">
        <v>7</v>
      </c>
      <c r="B3" s="69" t="s">
        <v>84</v>
      </c>
      <c r="C3" s="60"/>
      <c r="D3" s="70"/>
      <c r="E3" s="70"/>
      <c r="F3" s="70"/>
      <c r="G3" s="70"/>
      <c r="I3" s="9" t="s">
        <v>7</v>
      </c>
      <c r="J3" s="165" t="s">
        <v>200</v>
      </c>
      <c r="K3" s="165"/>
      <c r="L3" s="84"/>
      <c r="M3" s="165"/>
    </row>
    <row r="4" spans="1:13" ht="35.25" customHeight="1">
      <c r="A4" s="35">
        <v>1</v>
      </c>
      <c r="B4" s="93" t="s">
        <v>85</v>
      </c>
      <c r="C4" s="85" t="s">
        <v>83</v>
      </c>
      <c r="D4" s="85" t="s">
        <v>83</v>
      </c>
      <c r="E4" s="32">
        <f>0.3*0.045</f>
        <v>1.35E-2</v>
      </c>
      <c r="F4" s="50">
        <f>IF(C4="0 - netaikoma",0*$E4,IF(C4="1 -  planuota, bet neįgyvendinta",1*$E4/3,IF(C4="2 - dalinai įgyvendinta",2*$E4/3,$E4)))</f>
        <v>1.35E-2</v>
      </c>
      <c r="G4" s="51">
        <f>IF(D4="0 - netaikoma",0*$E4,IF(D4="1 -  planuota, bet neįgyvendinta",1*$E4/3,IF(D4="2 - dalinai įgyvendinta",2*$E4/3,$E4)))</f>
        <v>1.35E-2</v>
      </c>
      <c r="J4" s="166"/>
      <c r="K4" s="166"/>
      <c r="L4" s="86" t="s">
        <v>80</v>
      </c>
      <c r="M4" s="166"/>
    </row>
    <row r="5" spans="1:13" ht="38.25" customHeight="1">
      <c r="A5" s="35">
        <v>2</v>
      </c>
      <c r="B5" s="93" t="s">
        <v>86</v>
      </c>
      <c r="C5" s="85" t="s">
        <v>83</v>
      </c>
      <c r="D5" s="85" t="s">
        <v>83</v>
      </c>
      <c r="E5" s="32">
        <f>0.5*0.045</f>
        <v>2.2499999999999999E-2</v>
      </c>
      <c r="F5" s="50">
        <f>IF(C5="0 - netaikoma",0*$E5,IF(C5="1 -  planuota, bet neįgyvendinta",1*$E5/3,IF(C5="2 - dalinai įgyvendinta",2*$E5/3,$E5)))</f>
        <v>2.2499999999999999E-2</v>
      </c>
      <c r="G5" s="51">
        <f t="shared" ref="G5:G6" si="0">IF(D5="0 - netaikoma",0*$E5,IF(D5="1 -  planuota, bet neįgyvendinta",1*$E5/3,IF(D5="2 - dalinai įgyvendinta",2*$E5/3,$E5)))</f>
        <v>2.2499999999999999E-2</v>
      </c>
      <c r="J5" s="166"/>
      <c r="K5" s="166"/>
      <c r="L5" s="86" t="s">
        <v>81</v>
      </c>
      <c r="M5" s="166"/>
    </row>
    <row r="6" spans="1:13" ht="38.25" customHeight="1">
      <c r="A6" s="35">
        <v>3</v>
      </c>
      <c r="B6" s="94" t="s">
        <v>87</v>
      </c>
      <c r="C6" s="85" t="s">
        <v>83</v>
      </c>
      <c r="D6" s="85" t="s">
        <v>83</v>
      </c>
      <c r="E6" s="32">
        <f>0.2*0.045</f>
        <v>8.9999999999999993E-3</v>
      </c>
      <c r="F6" s="50">
        <f t="shared" ref="F6" si="1">IF(C6="0 - netaikoma",0*$E6,IF(C6="1 -  planuota, bet neįgyvendinta",1*$E6/3,IF(C6="2 - dalinai įgyvendinta",2*$E6/3,$E6)))</f>
        <v>8.9999999999999993E-3</v>
      </c>
      <c r="G6" s="51">
        <f t="shared" si="0"/>
        <v>8.9999999999999993E-3</v>
      </c>
      <c r="J6" s="167"/>
      <c r="K6" s="167"/>
      <c r="L6" s="86" t="s">
        <v>82</v>
      </c>
      <c r="M6" s="167"/>
    </row>
    <row r="7" spans="1:13" ht="17.25" customHeight="1">
      <c r="A7" s="35" t="s">
        <v>5</v>
      </c>
      <c r="B7" s="12"/>
      <c r="C7" s="162" t="s">
        <v>88</v>
      </c>
      <c r="D7" s="163"/>
      <c r="E7" s="65"/>
      <c r="F7" s="19">
        <f>SUM(F4:F6)</f>
        <v>4.4999999999999998E-2</v>
      </c>
      <c r="G7" s="19">
        <f>SUM(G4:G6)</f>
        <v>4.4999999999999998E-2</v>
      </c>
      <c r="H7" s="61" t="s">
        <v>192</v>
      </c>
      <c r="I7" s="83"/>
      <c r="J7" s="71"/>
      <c r="K7" s="71"/>
      <c r="L7" s="87" t="s">
        <v>83</v>
      </c>
      <c r="M7" s="71"/>
    </row>
    <row r="8" spans="1:13">
      <c r="A8" s="34" t="s">
        <v>8</v>
      </c>
      <c r="B8" s="75" t="s">
        <v>96</v>
      </c>
      <c r="C8" s="60"/>
      <c r="D8" s="70"/>
      <c r="E8" s="70"/>
      <c r="F8" s="70"/>
      <c r="G8" s="45"/>
      <c r="I8" s="9" t="s">
        <v>8</v>
      </c>
      <c r="J8" s="165" t="s">
        <v>210</v>
      </c>
      <c r="K8" s="165"/>
      <c r="L8" s="84"/>
      <c r="M8" s="165"/>
    </row>
    <row r="9" spans="1:13" ht="59.25" customHeight="1">
      <c r="A9" s="35">
        <v>1</v>
      </c>
      <c r="B9" s="93" t="s">
        <v>97</v>
      </c>
      <c r="C9" s="85" t="s">
        <v>83</v>
      </c>
      <c r="D9" s="85" t="s">
        <v>83</v>
      </c>
      <c r="E9" s="32">
        <f>0.3*0.075</f>
        <v>2.2499999999999999E-2</v>
      </c>
      <c r="F9" s="50">
        <f>IF(C9="0 - netaikoma",0*$E9,IF(C9="1 -  planuota, bet neįgyvendinta",1*$E9/3,IF(C9="2 - dalinai įgyvendinta",2*$E9/3,$E9)))</f>
        <v>2.2499999999999999E-2</v>
      </c>
      <c r="G9" s="51">
        <f t="shared" ref="G9:G12" si="2">IF(D9="0 - netaikoma",0*$E9,IF(D9="1 -  planuota, bet neįgyvendinta",1*$E9/3,IF(D9="2 - dalinai įgyvendinta",2*$E9/3,$E9)))</f>
        <v>2.2499999999999999E-2</v>
      </c>
      <c r="J9" s="166"/>
      <c r="K9" s="166"/>
      <c r="L9" s="84"/>
      <c r="M9" s="166"/>
    </row>
    <row r="10" spans="1:13" ht="49.5" customHeight="1">
      <c r="A10" s="35">
        <v>2</v>
      </c>
      <c r="B10" s="93" t="s">
        <v>98</v>
      </c>
      <c r="C10" s="85" t="s">
        <v>82</v>
      </c>
      <c r="D10" s="85" t="s">
        <v>83</v>
      </c>
      <c r="E10" s="32">
        <f>0.4*0.075</f>
        <v>0.03</v>
      </c>
      <c r="F10" s="50">
        <f t="shared" ref="F10:F12" si="3">IF(C10="0 - netaikoma",0*$E10,IF(C10="1 -  planuota, bet neįgyvendinta",1*$E10/3,IF(C10="2 - dalinai įgyvendinta",2*$E10/3,$E10)))</f>
        <v>0.02</v>
      </c>
      <c r="G10" s="51">
        <f t="shared" si="2"/>
        <v>0.03</v>
      </c>
      <c r="J10" s="166"/>
      <c r="K10" s="166"/>
      <c r="L10" s="84"/>
      <c r="M10" s="166"/>
    </row>
    <row r="11" spans="1:13" ht="49.5" customHeight="1">
      <c r="A11" s="35">
        <v>3</v>
      </c>
      <c r="B11" s="94" t="s">
        <v>99</v>
      </c>
      <c r="C11" s="85" t="s">
        <v>82</v>
      </c>
      <c r="D11" s="85" t="s">
        <v>83</v>
      </c>
      <c r="E11" s="32">
        <f>0.2*0.075</f>
        <v>1.4999999999999999E-2</v>
      </c>
      <c r="F11" s="50">
        <f t="shared" si="3"/>
        <v>0.01</v>
      </c>
      <c r="G11" s="51">
        <f t="shared" si="2"/>
        <v>1.4999999999999999E-2</v>
      </c>
      <c r="J11" s="166"/>
      <c r="K11" s="166"/>
      <c r="L11" s="84"/>
      <c r="M11" s="166"/>
    </row>
    <row r="12" spans="1:13" ht="36.75" customHeight="1">
      <c r="A12" s="35">
        <v>4</v>
      </c>
      <c r="B12" s="94" t="s">
        <v>100</v>
      </c>
      <c r="C12" s="85" t="s">
        <v>82</v>
      </c>
      <c r="D12" s="85" t="s">
        <v>83</v>
      </c>
      <c r="E12" s="32">
        <f>0.1*0.075</f>
        <v>7.4999999999999997E-3</v>
      </c>
      <c r="F12" s="50">
        <f t="shared" si="3"/>
        <v>5.0000000000000001E-3</v>
      </c>
      <c r="G12" s="51">
        <f t="shared" si="2"/>
        <v>7.4999999999999997E-3</v>
      </c>
      <c r="J12" s="167"/>
      <c r="K12" s="167"/>
      <c r="L12" s="84"/>
      <c r="M12" s="167"/>
    </row>
    <row r="13" spans="1:13">
      <c r="A13" s="35" t="s">
        <v>5</v>
      </c>
      <c r="B13" s="12"/>
      <c r="C13" s="162" t="s">
        <v>89</v>
      </c>
      <c r="D13" s="163"/>
      <c r="E13" s="65"/>
      <c r="F13" s="19">
        <f>SUM(F9:F12)</f>
        <v>5.7499999999999996E-2</v>
      </c>
      <c r="G13" s="19">
        <f>SUM(G9:G12)</f>
        <v>7.5000000000000011E-2</v>
      </c>
      <c r="H13" s="61" t="s">
        <v>193</v>
      </c>
      <c r="I13" s="83"/>
      <c r="J13" s="71"/>
      <c r="K13" s="71"/>
      <c r="L13" s="71"/>
      <c r="M13" s="71"/>
    </row>
    <row r="14" spans="1:13" ht="28.8">
      <c r="A14" s="34" t="s">
        <v>9</v>
      </c>
      <c r="B14" s="75" t="s">
        <v>101</v>
      </c>
      <c r="C14" s="60"/>
      <c r="D14" s="70"/>
      <c r="E14" s="70"/>
      <c r="F14" s="70"/>
      <c r="G14" s="45"/>
      <c r="I14" s="9" t="s">
        <v>9</v>
      </c>
      <c r="J14" s="165" t="s">
        <v>203</v>
      </c>
      <c r="K14" s="165"/>
      <c r="L14" s="84"/>
      <c r="M14" s="165"/>
    </row>
    <row r="15" spans="1:13" ht="51.75" customHeight="1">
      <c r="A15" s="35">
        <v>1</v>
      </c>
      <c r="B15" s="93" t="s">
        <v>102</v>
      </c>
      <c r="C15" s="85" t="s">
        <v>80</v>
      </c>
      <c r="D15" s="85" t="s">
        <v>81</v>
      </c>
      <c r="E15" s="32">
        <f>0.4*0.06</f>
        <v>2.4E-2</v>
      </c>
      <c r="F15" s="50">
        <f t="shared" ref="F15:F17" si="4">IF(C15="0 - netaikoma",0*$E15,IF(C15="1 -  planuota, bet neįgyvendinta",1*$E15/3,IF(C15="2 - dalinai įgyvendinta",2*$E15/3,$E15)))</f>
        <v>0</v>
      </c>
      <c r="G15" s="51">
        <f t="shared" ref="G15:G17" si="5">IF(D15="0 - netaikoma",0*$E15,IF(D15="1 -  planuota, bet neįgyvendinta",1*$E15/3,IF(D15="2 - dalinai įgyvendinta",2*$E15/3,$E15)))</f>
        <v>8.0000000000000002E-3</v>
      </c>
      <c r="J15" s="166"/>
      <c r="K15" s="166"/>
      <c r="L15" s="84"/>
      <c r="M15" s="166"/>
    </row>
    <row r="16" spans="1:13" ht="43.5" customHeight="1">
      <c r="A16" s="35">
        <v>2</v>
      </c>
      <c r="B16" s="93" t="s">
        <v>103</v>
      </c>
      <c r="C16" s="85" t="s">
        <v>83</v>
      </c>
      <c r="D16" s="85" t="s">
        <v>83</v>
      </c>
      <c r="E16" s="32">
        <f>0.25*0.06</f>
        <v>1.4999999999999999E-2</v>
      </c>
      <c r="F16" s="50">
        <f t="shared" si="4"/>
        <v>1.4999999999999999E-2</v>
      </c>
      <c r="G16" s="51">
        <f t="shared" si="5"/>
        <v>1.4999999999999999E-2</v>
      </c>
      <c r="J16" s="166"/>
      <c r="K16" s="166"/>
      <c r="L16" s="84"/>
      <c r="M16" s="166"/>
    </row>
    <row r="17" spans="1:13" ht="41.4">
      <c r="A17" s="35">
        <v>3</v>
      </c>
      <c r="B17" s="93" t="s">
        <v>176</v>
      </c>
      <c r="C17" s="85" t="s">
        <v>80</v>
      </c>
      <c r="D17" s="85" t="s">
        <v>82</v>
      </c>
      <c r="E17" s="32">
        <f>0.35*0.06</f>
        <v>2.0999999999999998E-2</v>
      </c>
      <c r="F17" s="50">
        <f t="shared" si="4"/>
        <v>0</v>
      </c>
      <c r="G17" s="51">
        <f t="shared" si="5"/>
        <v>1.3999999999999999E-2</v>
      </c>
      <c r="J17" s="167"/>
      <c r="K17" s="167"/>
      <c r="L17" s="84"/>
      <c r="M17" s="167"/>
    </row>
    <row r="18" spans="1:13">
      <c r="A18" s="35" t="s">
        <v>5</v>
      </c>
      <c r="B18" s="12"/>
      <c r="C18" s="162" t="s">
        <v>90</v>
      </c>
      <c r="D18" s="163"/>
      <c r="E18" s="65"/>
      <c r="F18" s="19">
        <f>SUM(F15:F17)</f>
        <v>1.4999999999999999E-2</v>
      </c>
      <c r="G18" s="19">
        <f>SUM(G15:G17)</f>
        <v>3.6999999999999998E-2</v>
      </c>
      <c r="H18" s="61" t="s">
        <v>194</v>
      </c>
      <c r="I18" s="63"/>
      <c r="J18" s="71"/>
      <c r="K18" s="71"/>
      <c r="L18" s="71"/>
      <c r="M18" s="71"/>
    </row>
    <row r="19" spans="1:13">
      <c r="A19" s="34" t="s">
        <v>10</v>
      </c>
      <c r="B19" s="95" t="s">
        <v>104</v>
      </c>
      <c r="C19" s="35"/>
      <c r="D19" s="11"/>
      <c r="E19" s="11"/>
      <c r="F19" s="11"/>
      <c r="G19" s="45"/>
      <c r="I19" s="9" t="s">
        <v>10</v>
      </c>
      <c r="J19" s="165" t="s">
        <v>204</v>
      </c>
      <c r="K19" s="178" t="s">
        <v>238</v>
      </c>
      <c r="L19" s="88"/>
      <c r="M19" s="178"/>
    </row>
    <row r="20" spans="1:13" ht="77.25" customHeight="1">
      <c r="A20" s="35">
        <v>1</v>
      </c>
      <c r="B20" s="93" t="s">
        <v>105</v>
      </c>
      <c r="C20" s="85" t="s">
        <v>82</v>
      </c>
      <c r="D20" s="85" t="s">
        <v>83</v>
      </c>
      <c r="E20" s="32">
        <f>0.5*0.06</f>
        <v>0.03</v>
      </c>
      <c r="F20" s="50">
        <f t="shared" ref="F20:F21" si="6">IF(C20="0 - netaikoma",0*$E20,IF(C20="1 -  planuota, bet neįgyvendinta",1*$E20/3,IF(C20="2 - dalinai įgyvendinta",2*$E20/3,$E20)))</f>
        <v>0.02</v>
      </c>
      <c r="G20" s="51">
        <f t="shared" ref="G20:G21" si="7">IF(D20="0 - netaikoma",0*$E20,IF(D20="1 -  planuota, bet neįgyvendinta",1*$E20/3,IF(D20="2 - dalinai įgyvendinta",2*$E20/3,$E20)))</f>
        <v>0.03</v>
      </c>
      <c r="J20" s="166"/>
      <c r="K20" s="178"/>
      <c r="L20" s="88"/>
      <c r="M20" s="178"/>
    </row>
    <row r="21" spans="1:13" ht="58.5" customHeight="1">
      <c r="A21" s="35">
        <v>2</v>
      </c>
      <c r="B21" s="93" t="s">
        <v>106</v>
      </c>
      <c r="C21" s="85" t="s">
        <v>82</v>
      </c>
      <c r="D21" s="85" t="s">
        <v>83</v>
      </c>
      <c r="E21" s="32">
        <f>0.5*0.06</f>
        <v>0.03</v>
      </c>
      <c r="F21" s="50">
        <f t="shared" si="6"/>
        <v>0.02</v>
      </c>
      <c r="G21" s="51">
        <f t="shared" si="7"/>
        <v>0.03</v>
      </c>
      <c r="J21" s="167"/>
      <c r="K21" s="178"/>
      <c r="L21" s="88"/>
      <c r="M21" s="178"/>
    </row>
    <row r="22" spans="1:13">
      <c r="A22" s="35" t="s">
        <v>5</v>
      </c>
      <c r="B22" s="12"/>
      <c r="C22" s="162" t="s">
        <v>91</v>
      </c>
      <c r="D22" s="163"/>
      <c r="E22" s="164"/>
      <c r="F22" s="19">
        <f>SUM(F20:F21)</f>
        <v>0.04</v>
      </c>
      <c r="G22" s="19">
        <f>SUM(G19:G21)</f>
        <v>0.06</v>
      </c>
      <c r="H22" s="61" t="s">
        <v>194</v>
      </c>
      <c r="I22" s="63"/>
      <c r="J22" s="71"/>
      <c r="K22" s="71"/>
      <c r="L22" s="71"/>
      <c r="M22" s="71"/>
    </row>
    <row r="23" spans="1:13">
      <c r="A23" s="34" t="s">
        <v>11</v>
      </c>
      <c r="B23" s="81" t="s">
        <v>107</v>
      </c>
      <c r="C23" s="60"/>
      <c r="D23" s="70"/>
      <c r="E23" s="70"/>
      <c r="F23" s="70"/>
      <c r="G23" s="70"/>
      <c r="I23" s="9" t="s">
        <v>11</v>
      </c>
      <c r="J23" s="178" t="s">
        <v>201</v>
      </c>
      <c r="K23" s="178"/>
      <c r="L23" s="88"/>
      <c r="M23" s="178"/>
    </row>
    <row r="24" spans="1:13" ht="27.6">
      <c r="A24" s="35">
        <v>1</v>
      </c>
      <c r="B24" s="93" t="s">
        <v>108</v>
      </c>
      <c r="C24" s="85" t="s">
        <v>80</v>
      </c>
      <c r="D24" s="85" t="s">
        <v>82</v>
      </c>
      <c r="E24" s="32">
        <f>0.6*0.03</f>
        <v>1.7999999999999999E-2</v>
      </c>
      <c r="F24" s="50">
        <f t="shared" ref="F24:F25" si="8">IF(C24="0 - netaikoma",0*$E24,IF(C24="1 -  planuota, bet neįgyvendinta",1*$E24/3,IF(C24="2 - dalinai įgyvendinta",2*$E24/3,$E24)))</f>
        <v>0</v>
      </c>
      <c r="G24" s="51">
        <f t="shared" ref="G24:G25" si="9">IF(D24="0 - netaikoma",0*$E24,IF(D24="1 -  planuota, bet neįgyvendinta",1*$E24/3,IF(D24="2 - dalinai įgyvendinta",2*$E24/3,$E24)))</f>
        <v>1.1999999999999999E-2</v>
      </c>
      <c r="J24" s="178"/>
      <c r="K24" s="178"/>
      <c r="L24" s="88"/>
      <c r="M24" s="178"/>
    </row>
    <row r="25" spans="1:13" ht="27.6">
      <c r="A25" s="35">
        <v>2</v>
      </c>
      <c r="B25" s="93" t="s">
        <v>177</v>
      </c>
      <c r="C25" s="85" t="s">
        <v>80</v>
      </c>
      <c r="D25" s="85" t="s">
        <v>81</v>
      </c>
      <c r="E25" s="32">
        <f>0.4*0.03</f>
        <v>1.2E-2</v>
      </c>
      <c r="F25" s="50">
        <f t="shared" si="8"/>
        <v>0</v>
      </c>
      <c r="G25" s="51">
        <f t="shared" si="9"/>
        <v>4.0000000000000001E-3</v>
      </c>
      <c r="J25" s="178"/>
      <c r="K25" s="178"/>
      <c r="L25" s="88"/>
      <c r="M25" s="178"/>
    </row>
    <row r="26" spans="1:13">
      <c r="A26" s="35" t="s">
        <v>5</v>
      </c>
      <c r="B26" s="12"/>
      <c r="C26" s="162" t="s">
        <v>92</v>
      </c>
      <c r="D26" s="163"/>
      <c r="E26" s="164"/>
      <c r="F26" s="19">
        <f>SUM(F24:F25)</f>
        <v>0</v>
      </c>
      <c r="G26" s="19">
        <f>SUM(G23:G25)</f>
        <v>1.6E-2</v>
      </c>
      <c r="H26" s="61" t="s">
        <v>195</v>
      </c>
      <c r="I26" s="63"/>
      <c r="J26" s="89"/>
      <c r="K26" s="89"/>
      <c r="L26" s="89"/>
      <c r="M26" s="89"/>
    </row>
    <row r="27" spans="1:13" ht="43.2">
      <c r="A27" s="34" t="s">
        <v>12</v>
      </c>
      <c r="B27" s="75" t="s">
        <v>109</v>
      </c>
      <c r="C27" s="60"/>
      <c r="D27" s="70"/>
      <c r="E27" s="70"/>
      <c r="F27" s="70"/>
      <c r="G27" s="70"/>
      <c r="I27" s="9" t="s">
        <v>12</v>
      </c>
      <c r="J27" s="178" t="s">
        <v>211</v>
      </c>
      <c r="K27" s="178" t="s">
        <v>239</v>
      </c>
      <c r="L27" s="88"/>
      <c r="M27" s="178"/>
    </row>
    <row r="28" spans="1:13" ht="44.25" customHeight="1">
      <c r="A28" s="35">
        <v>1</v>
      </c>
      <c r="B28" s="93" t="s">
        <v>110</v>
      </c>
      <c r="C28" s="85" t="s">
        <v>80</v>
      </c>
      <c r="D28" s="85" t="s">
        <v>82</v>
      </c>
      <c r="E28" s="32">
        <f>0.5*0.03</f>
        <v>1.4999999999999999E-2</v>
      </c>
      <c r="F28" s="50">
        <f t="shared" ref="F28:F29" si="10">IF(C28="0 - netaikoma",0*$E28,IF(C28="1 -  planuota, bet neįgyvendinta",1*$E28/3,IF(C28="2 - dalinai įgyvendinta",2*$E28/3,$E28)))</f>
        <v>0</v>
      </c>
      <c r="G28" s="51">
        <f t="shared" ref="G28:G29" si="11">IF(D28="0 - netaikoma",0*$E28,IF(D28="1 -  planuota, bet neįgyvendinta",1*$E28/3,IF(D28="2 - dalinai įgyvendinta",2*$E28/3,$E28)))</f>
        <v>0.01</v>
      </c>
      <c r="J28" s="178"/>
      <c r="K28" s="178"/>
      <c r="L28" s="88"/>
      <c r="M28" s="178"/>
    </row>
    <row r="29" spans="1:13" ht="69">
      <c r="A29" s="35">
        <v>2</v>
      </c>
      <c r="B29" s="93" t="s">
        <v>111</v>
      </c>
      <c r="C29" s="85" t="s">
        <v>80</v>
      </c>
      <c r="D29" s="85" t="s">
        <v>81</v>
      </c>
      <c r="E29" s="32">
        <f>0.5*0.03</f>
        <v>1.4999999999999999E-2</v>
      </c>
      <c r="F29" s="50">
        <f t="shared" si="10"/>
        <v>0</v>
      </c>
      <c r="G29" s="51">
        <f t="shared" si="11"/>
        <v>5.0000000000000001E-3</v>
      </c>
      <c r="J29" s="178"/>
      <c r="K29" s="178"/>
      <c r="L29" s="88"/>
      <c r="M29" s="178"/>
    </row>
    <row r="30" spans="1:13" ht="15" thickBot="1">
      <c r="A30" s="35" t="s">
        <v>5</v>
      </c>
      <c r="B30" s="12"/>
      <c r="C30" s="162" t="s">
        <v>93</v>
      </c>
      <c r="D30" s="163"/>
      <c r="E30" s="164"/>
      <c r="F30" s="19">
        <f>SUM(F28:F29)</f>
        <v>0</v>
      </c>
      <c r="G30" s="19">
        <f>SUM(G27:G29)</f>
        <v>1.4999999999999999E-2</v>
      </c>
      <c r="H30" s="61" t="s">
        <v>195</v>
      </c>
      <c r="I30" s="63"/>
    </row>
    <row r="31" spans="1:13" ht="15" thickBot="1">
      <c r="C31" s="168" t="s">
        <v>94</v>
      </c>
      <c r="D31" s="168"/>
      <c r="F31" s="42">
        <f>SUM(F7,F13,F18,F22,F26,F30)</f>
        <v>0.1575</v>
      </c>
      <c r="G31" s="42">
        <f>SUM(G7,G13,G18,G22,G26,G30)</f>
        <v>0.248</v>
      </c>
    </row>
    <row r="32" spans="1:13">
      <c r="C32" s="169" t="s">
        <v>95</v>
      </c>
      <c r="D32" s="169"/>
      <c r="F32" s="45">
        <v>30</v>
      </c>
      <c r="G32" s="45">
        <v>30</v>
      </c>
    </row>
    <row r="33" spans="1:12">
      <c r="D33" s="14"/>
      <c r="E33" s="14"/>
      <c r="G33" s="39"/>
    </row>
    <row r="34" spans="1:12" customFormat="1" ht="32.25" customHeight="1">
      <c r="A34" s="160" t="s">
        <v>134</v>
      </c>
      <c r="B34" s="160"/>
      <c r="C34" s="43"/>
      <c r="D34" s="161" t="s">
        <v>31</v>
      </c>
      <c r="E34" s="161"/>
      <c r="F34" s="161"/>
      <c r="G34" s="161"/>
      <c r="H34" s="161"/>
      <c r="I34" s="161"/>
      <c r="J34" s="161"/>
      <c r="K34" s="44"/>
      <c r="L34" s="44"/>
    </row>
  </sheetData>
  <sheetProtection password="CE28" sheet="1" objects="1" scenarios="1" formatRows="0"/>
  <mergeCells count="28">
    <mergeCell ref="C7:D7"/>
    <mergeCell ref="C13:D13"/>
    <mergeCell ref="C18:D18"/>
    <mergeCell ref="C31:D31"/>
    <mergeCell ref="J19:J21"/>
    <mergeCell ref="K19:K2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A34:B34"/>
    <mergeCell ref="D34:J34"/>
    <mergeCell ref="C30:E30"/>
    <mergeCell ref="C22:E22"/>
    <mergeCell ref="C26:E26"/>
    <mergeCell ref="J23:J25"/>
    <mergeCell ref="J27:J29"/>
    <mergeCell ref="C32:D32"/>
  </mergeCells>
  <phoneticPr fontId="7" type="noConversion"/>
  <dataValidations count="1">
    <dataValidation type="list" allowBlank="1" showInputMessage="1" showErrorMessage="1" sqref="C20:D21 C24:D25 C15:D17 C4:D6 C9:D12 C28:D29">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&amp;LAutorinės teisės&amp;CŠis produktas yra priskirtas kūrybinių bendrijų licencijai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topLeftCell="B1" zoomScaleNormal="100" workbookViewId="0">
      <selection activeCell="M1" sqref="M1:M1048576"/>
    </sheetView>
  </sheetViews>
  <sheetFormatPr defaultColWidth="34.5546875" defaultRowHeight="14.4"/>
  <cols>
    <col min="1" max="1" width="4.44140625" style="9" customWidth="1"/>
    <col min="2" max="2" width="36.33203125" style="8" customWidth="1"/>
    <col min="3" max="3" width="17.6640625" style="9" customWidth="1"/>
    <col min="4" max="4" width="18.33203125" style="10" hidden="1" customWidth="1"/>
    <col min="5" max="5" width="0.109375" style="10" customWidth="1"/>
    <col min="6" max="6" width="11.88671875" style="10" customWidth="1"/>
    <col min="7" max="7" width="9.88671875" style="10" hidden="1" customWidth="1"/>
    <col min="8" max="8" width="7.5546875" style="9" customWidth="1"/>
    <col min="9" max="9" width="3.5546875" style="9" customWidth="1"/>
    <col min="10" max="10" width="35" style="9" customWidth="1"/>
    <col min="11" max="11" width="27.88671875" style="9" customWidth="1"/>
    <col min="12" max="12" width="19.33203125" style="9" hidden="1" customWidth="1"/>
    <col min="13" max="13" width="35.33203125" style="9" hidden="1" customWidth="1"/>
    <col min="14" max="14" width="3" style="9" bestFit="1" customWidth="1"/>
    <col min="15" max="16384" width="34.5546875" style="9"/>
  </cols>
  <sheetData>
    <row r="1" spans="1:13" s="17" customFormat="1">
      <c r="A1" s="92" t="s">
        <v>112</v>
      </c>
      <c r="B1" s="16"/>
      <c r="D1" s="18"/>
      <c r="E1" s="18"/>
      <c r="F1" s="18"/>
      <c r="G1" s="18"/>
    </row>
    <row r="2" spans="1:13" ht="64.5" customHeight="1">
      <c r="A2" s="57" t="s">
        <v>21</v>
      </c>
      <c r="B2" s="58"/>
      <c r="C2" s="100" t="s">
        <v>217</v>
      </c>
      <c r="D2" s="59" t="s">
        <v>218</v>
      </c>
      <c r="E2" s="111" t="s">
        <v>6</v>
      </c>
      <c r="F2" s="100" t="s">
        <v>219</v>
      </c>
      <c r="G2" s="59" t="s">
        <v>220</v>
      </c>
      <c r="H2" s="60"/>
      <c r="I2" s="60"/>
      <c r="J2" s="101" t="s">
        <v>221</v>
      </c>
      <c r="K2" s="117" t="s">
        <v>222</v>
      </c>
      <c r="L2" s="59" t="s">
        <v>191</v>
      </c>
      <c r="M2" s="59" t="s">
        <v>191</v>
      </c>
    </row>
    <row r="3" spans="1:13">
      <c r="A3" s="77" t="s">
        <v>13</v>
      </c>
      <c r="B3" s="78" t="s">
        <v>113</v>
      </c>
      <c r="C3" s="60"/>
      <c r="D3" s="70"/>
      <c r="E3" s="70"/>
      <c r="F3" s="70"/>
      <c r="G3" s="70"/>
      <c r="I3" s="9" t="s">
        <v>13</v>
      </c>
      <c r="J3" s="178" t="s">
        <v>205</v>
      </c>
      <c r="K3" s="178" t="s">
        <v>240</v>
      </c>
      <c r="L3" s="88"/>
      <c r="M3" s="178"/>
    </row>
    <row r="4" spans="1:13" ht="25.5" customHeight="1">
      <c r="A4" s="35">
        <v>1</v>
      </c>
      <c r="B4" s="52" t="s">
        <v>122</v>
      </c>
      <c r="C4" s="85" t="s">
        <v>82</v>
      </c>
      <c r="D4" s="85" t="s">
        <v>83</v>
      </c>
      <c r="E4" s="32">
        <f>0.2*0.04</f>
        <v>8.0000000000000002E-3</v>
      </c>
      <c r="F4" s="109">
        <f>IF(C4="0 - netaikoma",0*$E4,IF(C4="1 -  planuota, bet neįgyvendinta",$E4/3,IF(C4="2 - dalinai įgyvendinta",2*$E4/3,$E4)))</f>
        <v>5.3333333333333332E-3</v>
      </c>
      <c r="G4" s="110">
        <f>IF(D4="0 - netaikoma",0*$E4,IF(D4="1 -  planuota, bet neįgyvendinta",$E4/3,IF(D4="2 - dalinai įgyvendinta",2*$E4/3,$E4)))</f>
        <v>8.0000000000000002E-3</v>
      </c>
      <c r="J4" s="178"/>
      <c r="K4" s="178"/>
      <c r="L4" s="86" t="s">
        <v>80</v>
      </c>
      <c r="M4" s="178"/>
    </row>
    <row r="5" spans="1:13" ht="27" customHeight="1">
      <c r="A5" s="35">
        <v>2</v>
      </c>
      <c r="B5" s="52" t="s">
        <v>123</v>
      </c>
      <c r="C5" s="85" t="s">
        <v>80</v>
      </c>
      <c r="D5" s="85" t="s">
        <v>82</v>
      </c>
      <c r="E5" s="32">
        <f>0.3*0.04</f>
        <v>1.2E-2</v>
      </c>
      <c r="F5" s="109">
        <f t="shared" ref="F5:F8" si="0">IF(C5="0 - netaikoma",0*$E5,IF(C5="1 -  planuota, bet neįgyvendinta",$E5/3,IF(C5="2 - dalinai įgyvendinta",2*$E5/3,$E5)))</f>
        <v>0</v>
      </c>
      <c r="G5" s="110">
        <f t="shared" ref="G5:G8" si="1">IF(D5="0 - netaikoma",0*$E5,IF(D5="1 -  planuota, bet neįgyvendinta",$E5/3,IF(D5="2 - dalinai įgyvendinta",2*$E5/3,$E5)))</f>
        <v>8.0000000000000002E-3</v>
      </c>
      <c r="J5" s="178"/>
      <c r="K5" s="178"/>
      <c r="L5" s="86" t="s">
        <v>81</v>
      </c>
      <c r="M5" s="178"/>
    </row>
    <row r="6" spans="1:13" ht="27" customHeight="1">
      <c r="A6" s="35">
        <v>3</v>
      </c>
      <c r="B6" s="52" t="s">
        <v>124</v>
      </c>
      <c r="C6" s="85" t="s">
        <v>83</v>
      </c>
      <c r="D6" s="85" t="s">
        <v>83</v>
      </c>
      <c r="E6" s="32">
        <f>0.2*0.04</f>
        <v>8.0000000000000002E-3</v>
      </c>
      <c r="F6" s="109">
        <f t="shared" si="0"/>
        <v>8.0000000000000002E-3</v>
      </c>
      <c r="G6" s="110">
        <f t="shared" si="1"/>
        <v>8.0000000000000002E-3</v>
      </c>
      <c r="J6" s="178"/>
      <c r="K6" s="178"/>
      <c r="L6" s="86" t="s">
        <v>82</v>
      </c>
      <c r="M6" s="178"/>
    </row>
    <row r="7" spans="1:13" ht="31.5" customHeight="1">
      <c r="A7" s="35">
        <v>4</v>
      </c>
      <c r="B7" s="52" t="s">
        <v>178</v>
      </c>
      <c r="C7" s="85" t="s">
        <v>83</v>
      </c>
      <c r="D7" s="85" t="s">
        <v>83</v>
      </c>
      <c r="E7" s="32">
        <f>0.1*0.04</f>
        <v>4.0000000000000001E-3</v>
      </c>
      <c r="F7" s="109">
        <f t="shared" si="0"/>
        <v>4.0000000000000001E-3</v>
      </c>
      <c r="G7" s="110">
        <f t="shared" si="1"/>
        <v>4.0000000000000001E-3</v>
      </c>
      <c r="J7" s="178"/>
      <c r="K7" s="178"/>
      <c r="L7" s="87" t="s">
        <v>83</v>
      </c>
      <c r="M7" s="178"/>
    </row>
    <row r="8" spans="1:13" ht="27.75" customHeight="1">
      <c r="A8" s="35">
        <v>5</v>
      </c>
      <c r="B8" s="53" t="s">
        <v>125</v>
      </c>
      <c r="C8" s="85" t="s">
        <v>83</v>
      </c>
      <c r="D8" s="85" t="s">
        <v>83</v>
      </c>
      <c r="E8" s="32">
        <f>0.2*0.04</f>
        <v>8.0000000000000002E-3</v>
      </c>
      <c r="F8" s="109">
        <f t="shared" si="0"/>
        <v>8.0000000000000002E-3</v>
      </c>
      <c r="G8" s="110">
        <f t="shared" si="1"/>
        <v>8.0000000000000002E-3</v>
      </c>
      <c r="J8" s="178"/>
      <c r="K8" s="178"/>
      <c r="L8" s="88"/>
      <c r="M8" s="178"/>
    </row>
    <row r="9" spans="1:13" ht="17.25" customHeight="1">
      <c r="A9" s="35" t="s">
        <v>5</v>
      </c>
      <c r="B9" s="12"/>
      <c r="C9" s="162" t="s">
        <v>114</v>
      </c>
      <c r="D9" s="164"/>
      <c r="E9" s="54">
        <f>SUM(E3:E8)</f>
        <v>0.04</v>
      </c>
      <c r="F9" s="68">
        <f>SUM(F4:F8)</f>
        <v>2.5333333333333333E-2</v>
      </c>
      <c r="G9" s="68">
        <f>SUM(G4:G8)</f>
        <v>3.6000000000000004E-2</v>
      </c>
      <c r="H9" s="91" t="s">
        <v>187</v>
      </c>
      <c r="I9" s="13"/>
      <c r="J9" s="71"/>
      <c r="K9" s="71"/>
      <c r="L9" s="71"/>
      <c r="M9" s="71"/>
    </row>
    <row r="10" spans="1:13" ht="33" customHeight="1">
      <c r="A10" s="76" t="s">
        <v>14</v>
      </c>
      <c r="B10" s="78" t="s">
        <v>126</v>
      </c>
      <c r="C10" s="60"/>
      <c r="D10" s="70"/>
      <c r="E10" s="70"/>
      <c r="F10" s="70"/>
      <c r="G10" s="70"/>
      <c r="H10" s="66"/>
      <c r="I10" s="66" t="s">
        <v>14</v>
      </c>
      <c r="J10" s="178" t="s">
        <v>212</v>
      </c>
      <c r="K10" s="178" t="s">
        <v>241</v>
      </c>
      <c r="L10" s="88"/>
      <c r="M10" s="179"/>
    </row>
    <row r="11" spans="1:13" ht="30.75" customHeight="1">
      <c r="A11" s="35">
        <v>1</v>
      </c>
      <c r="B11" s="93" t="s">
        <v>127</v>
      </c>
      <c r="C11" s="85" t="s">
        <v>80</v>
      </c>
      <c r="D11" s="85" t="s">
        <v>82</v>
      </c>
      <c r="E11" s="32">
        <f>0.2*4/100</f>
        <v>8.0000000000000002E-3</v>
      </c>
      <c r="F11" s="50">
        <f t="shared" ref="F11:F14" si="2">IF(C11="0 - netaikoma",0*$E11,IF(C11="1 -  planuota, bet neįgyvendinta",$E11/3,IF(C11="2 - dalinai įgyvendinta",2*$E11/3,$E11)))</f>
        <v>0</v>
      </c>
      <c r="G11" s="51">
        <f t="shared" ref="G11:G14" si="3">IF(D11="0 - netaikoma",0*$E11,IF(D11="1 -  planuota, bet neįgyvendinta",$E11/3,IF(D11="2 - dalinai įgyvendinta",2*$E11/3,$E11)))</f>
        <v>5.3333333333333332E-3</v>
      </c>
      <c r="J11" s="178"/>
      <c r="K11" s="178"/>
      <c r="L11" s="88"/>
      <c r="M11" s="179"/>
    </row>
    <row r="12" spans="1:13" ht="31.5" customHeight="1">
      <c r="A12" s="35">
        <v>2</v>
      </c>
      <c r="B12" s="93" t="s">
        <v>128</v>
      </c>
      <c r="C12" s="85" t="s">
        <v>80</v>
      </c>
      <c r="D12" s="85" t="s">
        <v>82</v>
      </c>
      <c r="E12" s="32">
        <f>0.2*4/100</f>
        <v>8.0000000000000002E-3</v>
      </c>
      <c r="F12" s="50">
        <f t="shared" si="2"/>
        <v>0</v>
      </c>
      <c r="G12" s="51">
        <f t="shared" si="3"/>
        <v>5.3333333333333332E-3</v>
      </c>
      <c r="J12" s="178"/>
      <c r="K12" s="178"/>
      <c r="L12" s="88"/>
      <c r="M12" s="179"/>
    </row>
    <row r="13" spans="1:13" ht="27.75" customHeight="1">
      <c r="A13" s="35">
        <v>3</v>
      </c>
      <c r="B13" s="93" t="s">
        <v>129</v>
      </c>
      <c r="C13" s="85" t="s">
        <v>83</v>
      </c>
      <c r="D13" s="85" t="s">
        <v>83</v>
      </c>
      <c r="E13" s="32">
        <f>0.3*4/100</f>
        <v>1.2E-2</v>
      </c>
      <c r="F13" s="50">
        <f t="shared" si="2"/>
        <v>1.2E-2</v>
      </c>
      <c r="G13" s="51">
        <f t="shared" si="3"/>
        <v>1.2E-2</v>
      </c>
      <c r="J13" s="178"/>
      <c r="K13" s="178"/>
      <c r="L13" s="88"/>
      <c r="M13" s="179"/>
    </row>
    <row r="14" spans="1:13" ht="27.6">
      <c r="A14" s="35">
        <v>4</v>
      </c>
      <c r="B14" s="93" t="s">
        <v>130</v>
      </c>
      <c r="C14" s="85" t="s">
        <v>83</v>
      </c>
      <c r="D14" s="85" t="s">
        <v>83</v>
      </c>
      <c r="E14" s="32">
        <f>0.3*4/100</f>
        <v>1.2E-2</v>
      </c>
      <c r="F14" s="50">
        <f t="shared" si="2"/>
        <v>1.2E-2</v>
      </c>
      <c r="G14" s="51">
        <f t="shared" si="3"/>
        <v>1.2E-2</v>
      </c>
      <c r="J14" s="178"/>
      <c r="K14" s="178"/>
      <c r="L14" s="88"/>
      <c r="M14" s="179"/>
    </row>
    <row r="15" spans="1:13">
      <c r="A15" s="35" t="s">
        <v>5</v>
      </c>
      <c r="B15" s="12"/>
      <c r="C15" s="162" t="s">
        <v>115</v>
      </c>
      <c r="D15" s="164"/>
      <c r="E15" s="47"/>
      <c r="F15" s="68">
        <f>SUM(F11:F14)</f>
        <v>2.4E-2</v>
      </c>
      <c r="G15" s="68">
        <f>SUM(G11:G14)</f>
        <v>3.4666666666666665E-2</v>
      </c>
      <c r="H15" s="91" t="s">
        <v>187</v>
      </c>
      <c r="I15" s="13"/>
      <c r="J15" s="71"/>
      <c r="K15" s="71"/>
      <c r="L15" s="71"/>
      <c r="M15" s="71"/>
    </row>
    <row r="16" spans="1:13">
      <c r="A16" s="76" t="s">
        <v>23</v>
      </c>
      <c r="B16" s="79" t="s">
        <v>131</v>
      </c>
      <c r="C16" s="60"/>
      <c r="D16" s="70"/>
      <c r="E16" s="70"/>
      <c r="F16" s="70"/>
      <c r="G16" s="70"/>
      <c r="H16" s="66"/>
      <c r="I16" s="66" t="s">
        <v>23</v>
      </c>
      <c r="J16" s="178" t="s">
        <v>206</v>
      </c>
      <c r="K16" s="179"/>
      <c r="L16" s="84"/>
      <c r="M16" s="179"/>
    </row>
    <row r="17" spans="1:13" ht="27" customHeight="1">
      <c r="A17" s="35">
        <v>1</v>
      </c>
      <c r="B17" s="93" t="s">
        <v>132</v>
      </c>
      <c r="C17" s="85" t="s">
        <v>83</v>
      </c>
      <c r="D17" s="85" t="s">
        <v>83</v>
      </c>
      <c r="E17" s="32">
        <f t="shared" ref="E17:E21" si="4">0.2*4/100</f>
        <v>8.0000000000000002E-3</v>
      </c>
      <c r="F17" s="50">
        <f t="shared" ref="F17:F21" si="5">IF(C17="0 - netaikoma",0*$E17,IF(C17="1 -  planuota, bet neįgyvendinta",$E17/3,IF(C17="2 - dalinai įgyvendinta",2*$E17/3,$E17)))</f>
        <v>8.0000000000000002E-3</v>
      </c>
      <c r="G17" s="51">
        <f t="shared" ref="G17:G21" si="6">IF(D17="0 - netaikoma",0*$E17,IF(D17="1 -  planuota, bet neįgyvendinta",$E17/3,IF(D17="2 - dalinai įgyvendinta",2*$E17/3,$E17)))</f>
        <v>8.0000000000000002E-3</v>
      </c>
      <c r="J17" s="178"/>
      <c r="K17" s="179"/>
      <c r="L17" s="84"/>
      <c r="M17" s="179"/>
    </row>
    <row r="18" spans="1:13" ht="48" customHeight="1">
      <c r="A18" s="35">
        <v>2</v>
      </c>
      <c r="B18" s="93" t="s">
        <v>133</v>
      </c>
      <c r="C18" s="85" t="s">
        <v>83</v>
      </c>
      <c r="D18" s="85" t="s">
        <v>83</v>
      </c>
      <c r="E18" s="32">
        <f t="shared" si="4"/>
        <v>8.0000000000000002E-3</v>
      </c>
      <c r="F18" s="50">
        <f t="shared" si="5"/>
        <v>8.0000000000000002E-3</v>
      </c>
      <c r="G18" s="51">
        <f t="shared" si="6"/>
        <v>8.0000000000000002E-3</v>
      </c>
      <c r="J18" s="178"/>
      <c r="K18" s="179"/>
      <c r="L18" s="84"/>
      <c r="M18" s="179"/>
    </row>
    <row r="19" spans="1:13" ht="30.75" customHeight="1">
      <c r="A19" s="35">
        <v>3</v>
      </c>
      <c r="B19" s="93" t="s">
        <v>179</v>
      </c>
      <c r="C19" s="85" t="s">
        <v>83</v>
      </c>
      <c r="D19" s="85" t="s">
        <v>83</v>
      </c>
      <c r="E19" s="32">
        <f t="shared" si="4"/>
        <v>8.0000000000000002E-3</v>
      </c>
      <c r="F19" s="50">
        <f t="shared" si="5"/>
        <v>8.0000000000000002E-3</v>
      </c>
      <c r="G19" s="51">
        <f t="shared" si="6"/>
        <v>8.0000000000000002E-3</v>
      </c>
      <c r="J19" s="178"/>
      <c r="K19" s="179"/>
      <c r="L19" s="84"/>
      <c r="M19" s="179"/>
    </row>
    <row r="20" spans="1:13" ht="39.75" customHeight="1">
      <c r="A20" s="35">
        <v>4</v>
      </c>
      <c r="B20" s="93" t="s">
        <v>180</v>
      </c>
      <c r="C20" s="85" t="s">
        <v>83</v>
      </c>
      <c r="D20" s="85" t="s">
        <v>83</v>
      </c>
      <c r="E20" s="32">
        <f t="shared" si="4"/>
        <v>8.0000000000000002E-3</v>
      </c>
      <c r="F20" s="50">
        <f t="shared" si="5"/>
        <v>8.0000000000000002E-3</v>
      </c>
      <c r="G20" s="51">
        <f t="shared" si="6"/>
        <v>8.0000000000000002E-3</v>
      </c>
      <c r="J20" s="178"/>
      <c r="K20" s="179"/>
      <c r="L20" s="84"/>
      <c r="M20" s="179"/>
    </row>
    <row r="21" spans="1:13">
      <c r="A21" s="35">
        <v>5</v>
      </c>
      <c r="B21" s="94" t="s">
        <v>181</v>
      </c>
      <c r="C21" s="85" t="s">
        <v>83</v>
      </c>
      <c r="D21" s="85" t="s">
        <v>83</v>
      </c>
      <c r="E21" s="32">
        <f t="shared" si="4"/>
        <v>8.0000000000000002E-3</v>
      </c>
      <c r="F21" s="50">
        <f t="shared" si="5"/>
        <v>8.0000000000000002E-3</v>
      </c>
      <c r="G21" s="51">
        <f t="shared" si="6"/>
        <v>8.0000000000000002E-3</v>
      </c>
      <c r="J21" s="178"/>
      <c r="K21" s="179"/>
      <c r="L21" s="84"/>
      <c r="M21" s="179"/>
    </row>
    <row r="22" spans="1:13">
      <c r="A22" s="35" t="s">
        <v>5</v>
      </c>
      <c r="B22" s="12"/>
      <c r="C22" s="162" t="s">
        <v>116</v>
      </c>
      <c r="D22" s="164"/>
      <c r="E22" s="47"/>
      <c r="F22" s="68">
        <f>SUM(F17:F21)</f>
        <v>0.04</v>
      </c>
      <c r="G22" s="68">
        <f>SUM(G17:G21)</f>
        <v>0.04</v>
      </c>
      <c r="H22" s="91" t="s">
        <v>187</v>
      </c>
      <c r="I22" s="13"/>
      <c r="J22" s="71"/>
      <c r="K22" s="71"/>
      <c r="L22" s="71"/>
      <c r="M22" s="71"/>
    </row>
    <row r="23" spans="1:13">
      <c r="A23" s="76" t="s">
        <v>15</v>
      </c>
      <c r="B23" s="79" t="s">
        <v>134</v>
      </c>
      <c r="C23" s="60"/>
      <c r="D23" s="70"/>
      <c r="E23" s="70"/>
      <c r="F23" s="70"/>
      <c r="G23" s="70"/>
      <c r="H23" s="66"/>
      <c r="I23" s="66" t="s">
        <v>15</v>
      </c>
      <c r="J23" s="178" t="s">
        <v>207</v>
      </c>
      <c r="K23" s="178"/>
      <c r="L23" s="88"/>
      <c r="M23" s="178" t="s">
        <v>242</v>
      </c>
    </row>
    <row r="24" spans="1:13" ht="66.75" customHeight="1">
      <c r="A24" s="35">
        <v>1</v>
      </c>
      <c r="B24" s="93" t="s">
        <v>135</v>
      </c>
      <c r="C24" s="85" t="s">
        <v>80</v>
      </c>
      <c r="D24" s="85" t="s">
        <v>82</v>
      </c>
      <c r="E24" s="32">
        <f>0.5*0.04</f>
        <v>0.02</v>
      </c>
      <c r="F24" s="50">
        <f t="shared" ref="F24:F25" si="7">IF(C24="0 - netaikoma",0*$E24,IF(C24="1 -  planuota, bet neįgyvendinta",$E24/3,IF(C24="2 - dalinai įgyvendinta",2*$E24/3,$E24)))</f>
        <v>0</v>
      </c>
      <c r="G24" s="51">
        <f t="shared" ref="G24:G25" si="8">IF(D24="0 - netaikoma",0*$E24,IF(D24="1 -  planuota, bet neįgyvendinta",$E24/3,IF(D24="2 - dalinai įgyvendinta",2*$E24/3,$E24)))</f>
        <v>1.3333333333333334E-2</v>
      </c>
      <c r="J24" s="178"/>
      <c r="K24" s="178"/>
      <c r="L24" s="88"/>
      <c r="M24" s="178"/>
    </row>
    <row r="25" spans="1:13" ht="39" customHeight="1">
      <c r="A25" s="35">
        <v>2</v>
      </c>
      <c r="B25" s="93" t="s">
        <v>136</v>
      </c>
      <c r="C25" s="85" t="s">
        <v>80</v>
      </c>
      <c r="D25" s="85" t="s">
        <v>81</v>
      </c>
      <c r="E25" s="32">
        <f>0.5*0.04</f>
        <v>0.02</v>
      </c>
      <c r="F25" s="50">
        <f t="shared" si="7"/>
        <v>0</v>
      </c>
      <c r="G25" s="51">
        <f t="shared" si="8"/>
        <v>6.6666666666666671E-3</v>
      </c>
      <c r="J25" s="178"/>
      <c r="K25" s="178"/>
      <c r="L25" s="88"/>
      <c r="M25" s="178"/>
    </row>
    <row r="26" spans="1:13">
      <c r="A26" s="35" t="s">
        <v>5</v>
      </c>
      <c r="B26" s="12"/>
      <c r="C26" s="162" t="s">
        <v>117</v>
      </c>
      <c r="D26" s="164"/>
      <c r="E26" s="47"/>
      <c r="F26" s="68">
        <f>SUM(F24:F25)</f>
        <v>0</v>
      </c>
      <c r="G26" s="68">
        <f>SUM(G24:G25)</f>
        <v>0.02</v>
      </c>
      <c r="H26" s="91" t="s">
        <v>187</v>
      </c>
      <c r="I26" s="13"/>
      <c r="J26" s="89"/>
      <c r="K26" s="89"/>
      <c r="L26" s="89"/>
      <c r="M26" s="89"/>
    </row>
    <row r="27" spans="1:13" ht="33.75" customHeight="1">
      <c r="A27" s="76" t="s">
        <v>16</v>
      </c>
      <c r="B27" s="78" t="s">
        <v>137</v>
      </c>
      <c r="C27" s="60"/>
      <c r="D27" s="70"/>
      <c r="E27" s="70"/>
      <c r="F27" s="70"/>
      <c r="G27" s="70"/>
      <c r="H27" s="66"/>
      <c r="I27" s="66" t="s">
        <v>16</v>
      </c>
      <c r="J27" s="178" t="s">
        <v>208</v>
      </c>
      <c r="K27" s="178"/>
      <c r="L27" s="89"/>
      <c r="M27" s="178"/>
    </row>
    <row r="28" spans="1:13" ht="34.5" customHeight="1">
      <c r="A28" s="35">
        <v>1</v>
      </c>
      <c r="B28" s="93" t="s">
        <v>138</v>
      </c>
      <c r="C28" s="85" t="s">
        <v>83</v>
      </c>
      <c r="D28" s="85" t="s">
        <v>83</v>
      </c>
      <c r="E28" s="32">
        <f>0.3*0.02</f>
        <v>6.0000000000000001E-3</v>
      </c>
      <c r="F28" s="50">
        <f t="shared" ref="F28:F30" si="9">IF(C28="0 - netaikoma",0*$E28,IF(C28="1 -  planuota, bet neįgyvendinta",$E28/3,IF(C28="2 - dalinai įgyvendinta",2*$E28/3,$E28)))</f>
        <v>6.0000000000000001E-3</v>
      </c>
      <c r="G28" s="51">
        <f t="shared" ref="G28:G30" si="10">IF(D28="0 - netaikoma",0*$E28,IF(D28="1 -  planuota, bet neįgyvendinta",$E28/3,IF(D28="2 - dalinai įgyvendinta",2*$E28/3,$E28)))</f>
        <v>6.0000000000000001E-3</v>
      </c>
      <c r="J28" s="178"/>
      <c r="K28" s="178"/>
      <c r="L28" s="89"/>
      <c r="M28" s="178"/>
    </row>
    <row r="29" spans="1:13" ht="54" customHeight="1">
      <c r="A29" s="35">
        <v>2</v>
      </c>
      <c r="B29" s="93" t="s">
        <v>139</v>
      </c>
      <c r="C29" s="85" t="s">
        <v>82</v>
      </c>
      <c r="D29" s="85" t="s">
        <v>83</v>
      </c>
      <c r="E29" s="32">
        <f>0.3*0.02</f>
        <v>6.0000000000000001E-3</v>
      </c>
      <c r="F29" s="50">
        <f t="shared" si="9"/>
        <v>4.0000000000000001E-3</v>
      </c>
      <c r="G29" s="51">
        <f t="shared" si="10"/>
        <v>6.0000000000000001E-3</v>
      </c>
      <c r="J29" s="178"/>
      <c r="K29" s="178"/>
      <c r="L29" s="89"/>
      <c r="M29" s="178"/>
    </row>
    <row r="30" spans="1:13" ht="33" customHeight="1">
      <c r="A30" s="35">
        <v>3</v>
      </c>
      <c r="B30" s="93" t="s">
        <v>140</v>
      </c>
      <c r="C30" s="85" t="s">
        <v>82</v>
      </c>
      <c r="D30" s="85" t="s">
        <v>83</v>
      </c>
      <c r="E30" s="32">
        <f>0.4*0.02</f>
        <v>8.0000000000000002E-3</v>
      </c>
      <c r="F30" s="50">
        <f t="shared" si="9"/>
        <v>5.3333333333333332E-3</v>
      </c>
      <c r="G30" s="51">
        <f t="shared" si="10"/>
        <v>8.0000000000000002E-3</v>
      </c>
      <c r="J30" s="178"/>
      <c r="K30" s="178"/>
      <c r="L30" s="89"/>
      <c r="M30" s="178"/>
    </row>
    <row r="31" spans="1:13">
      <c r="A31" s="35" t="s">
        <v>5</v>
      </c>
      <c r="B31" s="12"/>
      <c r="C31" s="162" t="s">
        <v>118</v>
      </c>
      <c r="D31" s="164"/>
      <c r="E31" s="47"/>
      <c r="F31" s="68">
        <f>SUM(F28:F30)</f>
        <v>1.5333333333333334E-2</v>
      </c>
      <c r="G31" s="68">
        <f>SUM(G28:G30)</f>
        <v>0.02</v>
      </c>
      <c r="H31" s="91" t="s">
        <v>188</v>
      </c>
      <c r="I31" s="13"/>
      <c r="J31" s="89"/>
      <c r="K31" s="89"/>
      <c r="L31" s="89"/>
      <c r="M31" s="89"/>
    </row>
    <row r="32" spans="1:13" ht="16.5" customHeight="1">
      <c r="A32" s="76" t="s">
        <v>20</v>
      </c>
      <c r="B32" s="78" t="s">
        <v>141</v>
      </c>
      <c r="C32" s="60"/>
      <c r="D32" s="70"/>
      <c r="E32" s="70"/>
      <c r="F32" s="70"/>
      <c r="G32" s="45"/>
      <c r="H32" s="66"/>
      <c r="I32" s="66" t="s">
        <v>20</v>
      </c>
      <c r="J32" s="178" t="s">
        <v>209</v>
      </c>
      <c r="K32" s="178"/>
      <c r="L32" s="88"/>
      <c r="M32" s="178" t="s">
        <v>237</v>
      </c>
    </row>
    <row r="33" spans="1:13" ht="43.5" customHeight="1">
      <c r="A33" s="35">
        <v>1</v>
      </c>
      <c r="B33" s="93" t="s">
        <v>142</v>
      </c>
      <c r="C33" s="85" t="s">
        <v>80</v>
      </c>
      <c r="D33" s="85" t="s">
        <v>82</v>
      </c>
      <c r="E33" s="32">
        <f>0.5*0.02</f>
        <v>0.01</v>
      </c>
      <c r="F33" s="50">
        <f t="shared" ref="F33:F34" si="11">IF(C33="0 - netaikoma",0*$E33,IF(C33="1 -  planuota, bet neįgyvendinta",$E33/3,IF(C33="2 - dalinai įgyvendinta",2*$E33/3,$E33)))</f>
        <v>0</v>
      </c>
      <c r="G33" s="51">
        <f t="shared" ref="G33:G34" si="12">IF(D33="0 - netaikoma",0*$E33,IF(D33="1 -  planuota, bet neįgyvendinta",$E33/3,IF(D33="2 - dalinai įgyvendinta",2*$E33/3,$E33)))</f>
        <v>6.6666666666666671E-3</v>
      </c>
      <c r="J33" s="178"/>
      <c r="K33" s="178"/>
      <c r="L33" s="88"/>
      <c r="M33" s="178"/>
    </row>
    <row r="34" spans="1:13" ht="33" customHeight="1">
      <c r="A34" s="35">
        <v>2</v>
      </c>
      <c r="B34" s="93" t="s">
        <v>143</v>
      </c>
      <c r="C34" s="85" t="s">
        <v>80</v>
      </c>
      <c r="D34" s="85" t="s">
        <v>82</v>
      </c>
      <c r="E34" s="32">
        <f>0.5*0.02</f>
        <v>0.01</v>
      </c>
      <c r="F34" s="50">
        <f t="shared" si="11"/>
        <v>0</v>
      </c>
      <c r="G34" s="51">
        <f t="shared" si="12"/>
        <v>6.6666666666666671E-3</v>
      </c>
      <c r="J34" s="178"/>
      <c r="K34" s="178"/>
      <c r="L34" s="88"/>
      <c r="M34" s="178"/>
    </row>
    <row r="35" spans="1:13" ht="15" thickBot="1">
      <c r="A35" s="35" t="s">
        <v>5</v>
      </c>
      <c r="B35" s="12"/>
      <c r="C35" s="162" t="s">
        <v>119</v>
      </c>
      <c r="D35" s="164"/>
      <c r="E35" s="47"/>
      <c r="F35" s="68">
        <f>SUM(F33:F34)</f>
        <v>0</v>
      </c>
      <c r="G35" s="68">
        <f>SUM(G32:G34)</f>
        <v>1.3333333333333334E-2</v>
      </c>
      <c r="H35" s="91" t="s">
        <v>188</v>
      </c>
      <c r="I35" s="13"/>
    </row>
    <row r="36" spans="1:13" ht="15" thickBot="1">
      <c r="C36" s="168" t="s">
        <v>120</v>
      </c>
      <c r="D36" s="168"/>
      <c r="F36" s="42">
        <f>SUM(F9,F15,F22,F26,F31,F35)</f>
        <v>0.10466666666666667</v>
      </c>
      <c r="G36" s="42">
        <f>SUM(G9,G15,G22,G26,G31,G35)</f>
        <v>0.16399999999999998</v>
      </c>
    </row>
    <row r="37" spans="1:13">
      <c r="C37" s="169" t="s">
        <v>121</v>
      </c>
      <c r="D37" s="169"/>
      <c r="E37" s="14"/>
      <c r="F37" s="45">
        <v>20</v>
      </c>
      <c r="G37" s="40">
        <v>20</v>
      </c>
    </row>
    <row r="39" spans="1:13" customFormat="1" ht="32.25" customHeight="1">
      <c r="A39" s="160" t="s">
        <v>134</v>
      </c>
      <c r="B39" s="160"/>
      <c r="C39" s="161" t="s">
        <v>31</v>
      </c>
      <c r="D39" s="161"/>
      <c r="E39" s="161"/>
      <c r="F39" s="161"/>
      <c r="G39" s="161"/>
      <c r="H39" s="161"/>
      <c r="I39" s="161"/>
      <c r="J39" s="44"/>
      <c r="K39" s="44"/>
      <c r="M39" s="44"/>
    </row>
  </sheetData>
  <sheetProtection password="CE28" sheet="1" objects="1" scenarios="1" formatRows="0"/>
  <mergeCells count="28">
    <mergeCell ref="K32:K34"/>
    <mergeCell ref="M32:M34"/>
    <mergeCell ref="C9:D9"/>
    <mergeCell ref="C15:D15"/>
    <mergeCell ref="C22:D22"/>
    <mergeCell ref="C26:D26"/>
    <mergeCell ref="C31:D31"/>
    <mergeCell ref="J23:J25"/>
    <mergeCell ref="K23:K25"/>
    <mergeCell ref="J27:J30"/>
    <mergeCell ref="K27:K30"/>
    <mergeCell ref="J32:J34"/>
    <mergeCell ref="M3:M8"/>
    <mergeCell ref="M10:M14"/>
    <mergeCell ref="M16:M21"/>
    <mergeCell ref="M23:M25"/>
    <mergeCell ref="M27:M30"/>
    <mergeCell ref="J3:J8"/>
    <mergeCell ref="K3:K8"/>
    <mergeCell ref="J10:J14"/>
    <mergeCell ref="K10:K14"/>
    <mergeCell ref="J16:J21"/>
    <mergeCell ref="K16:K21"/>
    <mergeCell ref="A39:B39"/>
    <mergeCell ref="C39:I39"/>
    <mergeCell ref="C35:D35"/>
    <mergeCell ref="C36:D36"/>
    <mergeCell ref="C37:D37"/>
  </mergeCells>
  <dataValidations count="1">
    <dataValidation type="list" allowBlank="1" showInputMessage="1" showErrorMessage="1" sqref="C17:D21 C28:D30 C24:D25 C4:D8 C11:D14 C33:D3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&amp;LAutorinės teisės&amp;CŠis produktas yra priskirtas kūrybinių bendrijų licencijai    
CC BY-NC-ND 3.0&amp;R&amp;G</oddFooter>
  </headerFooter>
  <rowBreaks count="2" manualBreakCount="2">
    <brk id="15" max="16383" man="1"/>
    <brk id="26"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zoomScaleNormal="100" workbookViewId="0">
      <selection activeCell="M1" sqref="M1:M1048576"/>
    </sheetView>
  </sheetViews>
  <sheetFormatPr defaultColWidth="34.5546875" defaultRowHeight="14.4"/>
  <cols>
    <col min="1" max="1" width="4.44140625" style="9" customWidth="1"/>
    <col min="2" max="2" width="36.5546875" style="8" customWidth="1"/>
    <col min="3" max="3" width="17.6640625" style="9" customWidth="1"/>
    <col min="4" max="4" width="19.88671875" style="10" hidden="1" customWidth="1"/>
    <col min="5" max="5" width="7" style="10" hidden="1" customWidth="1"/>
    <col min="6" max="6" width="9.5546875" style="108" bestFit="1" customWidth="1"/>
    <col min="7" max="7" width="10" style="10" hidden="1" customWidth="1"/>
    <col min="8" max="8" width="8.5546875" style="9" customWidth="1"/>
    <col min="9" max="9" width="4" style="9" customWidth="1"/>
    <col min="10" max="10" width="33.5546875" style="9" customWidth="1"/>
    <col min="11" max="11" width="25.33203125" style="9" customWidth="1"/>
    <col min="12" max="12" width="10.5546875" style="9" hidden="1" customWidth="1"/>
    <col min="13" max="13" width="29.6640625" style="9" hidden="1" customWidth="1"/>
    <col min="14" max="14" width="3" style="9" bestFit="1" customWidth="1"/>
    <col min="15" max="16384" width="34.5546875" style="9"/>
  </cols>
  <sheetData>
    <row r="1" spans="1:13" s="17" customFormat="1">
      <c r="A1" s="92" t="s">
        <v>144</v>
      </c>
      <c r="B1" s="16"/>
      <c r="D1" s="18"/>
      <c r="E1" s="18"/>
      <c r="F1" s="102"/>
      <c r="G1" s="18"/>
    </row>
    <row r="2" spans="1:13" ht="64.5" customHeight="1">
      <c r="A2" s="57" t="s">
        <v>21</v>
      </c>
      <c r="B2" s="58"/>
      <c r="C2" s="100" t="s">
        <v>217</v>
      </c>
      <c r="D2" s="59" t="s">
        <v>218</v>
      </c>
      <c r="E2" s="111" t="s">
        <v>6</v>
      </c>
      <c r="F2" s="100" t="s">
        <v>219</v>
      </c>
      <c r="G2" s="59" t="s">
        <v>220</v>
      </c>
      <c r="H2" s="60"/>
      <c r="I2" s="60"/>
      <c r="J2" s="101" t="s">
        <v>221</v>
      </c>
      <c r="K2" s="117" t="s">
        <v>222</v>
      </c>
      <c r="L2" s="59" t="s">
        <v>191</v>
      </c>
      <c r="M2" s="59" t="s">
        <v>191</v>
      </c>
    </row>
    <row r="3" spans="1:13" ht="20.25" customHeight="1">
      <c r="A3" s="56" t="s">
        <v>17</v>
      </c>
      <c r="B3" s="69" t="s">
        <v>145</v>
      </c>
      <c r="C3" s="60"/>
      <c r="D3" s="70"/>
      <c r="E3" s="70"/>
      <c r="F3" s="103"/>
      <c r="G3" s="45"/>
      <c r="I3" s="9" t="s">
        <v>17</v>
      </c>
      <c r="J3" s="177" t="s">
        <v>243</v>
      </c>
      <c r="K3" s="180" t="s">
        <v>244</v>
      </c>
      <c r="L3" s="90"/>
      <c r="M3" s="177" t="s">
        <v>237</v>
      </c>
    </row>
    <row r="4" spans="1:13" ht="40.5" customHeight="1">
      <c r="A4" s="35">
        <v>1</v>
      </c>
      <c r="B4" s="93" t="s">
        <v>146</v>
      </c>
      <c r="C4" s="85" t="s">
        <v>80</v>
      </c>
      <c r="D4" s="85" t="s">
        <v>82</v>
      </c>
      <c r="E4" s="32">
        <f>0.2*0.055</f>
        <v>1.1000000000000001E-2</v>
      </c>
      <c r="F4" s="109">
        <f>IF(C4="0 - netaikoma",0*$E4,IF(C4="1 -  planuota, bet neįgyvendinta",$E4/3,IF(C4="2 - dalinai įgyvendinta",2*$E4/3,$E4)))</f>
        <v>0</v>
      </c>
      <c r="G4" s="110">
        <f>IF(D4="0 - netaikoma",0*$E4,IF(D4="1 -  planuota, bet neįgyvendinta",$E4/3,IF(D4="2 - dalinai įgyvendinta",2*$E4/3,$E4)))</f>
        <v>7.3333333333333341E-3</v>
      </c>
      <c r="J4" s="174"/>
      <c r="K4" s="180"/>
      <c r="L4" s="86" t="s">
        <v>80</v>
      </c>
      <c r="M4" s="174"/>
    </row>
    <row r="5" spans="1:13" ht="28.5" customHeight="1">
      <c r="A5" s="35">
        <v>2</v>
      </c>
      <c r="B5" s="93" t="s">
        <v>147</v>
      </c>
      <c r="C5" s="85" t="s">
        <v>80</v>
      </c>
      <c r="D5" s="85" t="s">
        <v>83</v>
      </c>
      <c r="E5" s="32">
        <f t="shared" ref="E5:E8" si="0">0.2*0.055</f>
        <v>1.1000000000000001E-2</v>
      </c>
      <c r="F5" s="109">
        <f t="shared" ref="F5:F8" si="1">IF(C5="0 - netaikoma",0*$E5,IF(C5="1 -  planuota, bet neįgyvendinta",$E5/3,IF(C5="2 - dalinai įgyvendinta",2*$E5/3,$E5)))</f>
        <v>0</v>
      </c>
      <c r="G5" s="110">
        <f t="shared" ref="G5:G8" si="2">IF(D5="0 - netaikoma",0*$E5,IF(D5="1 -  planuota, bet neįgyvendinta",$E5/3,IF(D5="2 - dalinai įgyvendinta",2*$E5/3,$E5)))</f>
        <v>1.1000000000000001E-2</v>
      </c>
      <c r="J5" s="174"/>
      <c r="K5" s="180"/>
      <c r="L5" s="86" t="s">
        <v>81</v>
      </c>
      <c r="M5" s="174"/>
    </row>
    <row r="6" spans="1:13" ht="38.25" customHeight="1">
      <c r="A6" s="35">
        <v>3</v>
      </c>
      <c r="B6" s="93" t="s">
        <v>148</v>
      </c>
      <c r="C6" s="85" t="s">
        <v>82</v>
      </c>
      <c r="D6" s="85" t="s">
        <v>83</v>
      </c>
      <c r="E6" s="32">
        <f t="shared" si="0"/>
        <v>1.1000000000000001E-2</v>
      </c>
      <c r="F6" s="109">
        <f t="shared" si="1"/>
        <v>7.3333333333333341E-3</v>
      </c>
      <c r="G6" s="110">
        <f t="shared" si="2"/>
        <v>1.1000000000000001E-2</v>
      </c>
      <c r="J6" s="174"/>
      <c r="K6" s="180"/>
      <c r="L6" s="86" t="s">
        <v>82</v>
      </c>
      <c r="M6" s="174"/>
    </row>
    <row r="7" spans="1:13" ht="26.25" customHeight="1">
      <c r="A7" s="35">
        <v>4</v>
      </c>
      <c r="B7" s="93" t="s">
        <v>149</v>
      </c>
      <c r="C7" s="85" t="s">
        <v>80</v>
      </c>
      <c r="D7" s="85" t="s">
        <v>82</v>
      </c>
      <c r="E7" s="32">
        <f t="shared" si="0"/>
        <v>1.1000000000000001E-2</v>
      </c>
      <c r="F7" s="109">
        <f t="shared" si="1"/>
        <v>0</v>
      </c>
      <c r="G7" s="110">
        <f t="shared" si="2"/>
        <v>7.3333333333333341E-3</v>
      </c>
      <c r="J7" s="174"/>
      <c r="K7" s="180"/>
      <c r="L7" s="87" t="s">
        <v>83</v>
      </c>
      <c r="M7" s="174"/>
    </row>
    <row r="8" spans="1:13" ht="27.6">
      <c r="A8" s="35">
        <v>5</v>
      </c>
      <c r="B8" s="94" t="s">
        <v>150</v>
      </c>
      <c r="C8" s="85" t="s">
        <v>82</v>
      </c>
      <c r="D8" s="85" t="s">
        <v>83</v>
      </c>
      <c r="E8" s="32">
        <f t="shared" si="0"/>
        <v>1.1000000000000001E-2</v>
      </c>
      <c r="F8" s="109">
        <f t="shared" si="1"/>
        <v>7.3333333333333341E-3</v>
      </c>
      <c r="G8" s="110">
        <f t="shared" si="2"/>
        <v>1.1000000000000001E-2</v>
      </c>
      <c r="J8" s="174"/>
      <c r="K8" s="181"/>
      <c r="L8" s="90"/>
      <c r="M8" s="174"/>
    </row>
    <row r="9" spans="1:13" ht="17.25" customHeight="1">
      <c r="A9" s="35" t="s">
        <v>5</v>
      </c>
      <c r="B9" s="12"/>
      <c r="C9" s="162" t="s">
        <v>151</v>
      </c>
      <c r="D9" s="163"/>
      <c r="E9" s="164"/>
      <c r="F9" s="105">
        <f>SUM(F4:F8)</f>
        <v>1.4666666666666668E-2</v>
      </c>
      <c r="G9" s="68">
        <f>SUM(G4:G8)</f>
        <v>4.766666666666667E-2</v>
      </c>
      <c r="H9" s="61" t="s">
        <v>189</v>
      </c>
      <c r="I9" s="63"/>
      <c r="J9" s="71"/>
      <c r="K9" s="71"/>
      <c r="L9" s="71"/>
      <c r="M9" s="71"/>
    </row>
    <row r="10" spans="1:13">
      <c r="A10" s="34" t="s">
        <v>18</v>
      </c>
      <c r="B10" s="75" t="s">
        <v>157</v>
      </c>
      <c r="C10" s="60"/>
      <c r="D10" s="70"/>
      <c r="E10" s="70"/>
      <c r="F10" s="103"/>
      <c r="G10" s="45"/>
      <c r="I10" s="9" t="s">
        <v>18</v>
      </c>
      <c r="J10" s="178" t="s">
        <v>245</v>
      </c>
      <c r="K10" s="178" t="s">
        <v>246</v>
      </c>
      <c r="L10" s="88"/>
      <c r="M10" s="178" t="s">
        <v>237</v>
      </c>
    </row>
    <row r="11" spans="1:13" ht="39.75" customHeight="1">
      <c r="A11" s="35">
        <v>1</v>
      </c>
      <c r="B11" s="93" t="s">
        <v>158</v>
      </c>
      <c r="C11" s="85" t="s">
        <v>80</v>
      </c>
      <c r="D11" s="85" t="s">
        <v>82</v>
      </c>
      <c r="E11" s="11">
        <f>0.25*0.055</f>
        <v>1.375E-2</v>
      </c>
      <c r="F11" s="104">
        <f t="shared" ref="F11:F13" si="3">IF(C11="0 - netaikoma",0*$E11,IF(C11="1 -  planuota, bet neįgyvendinta",$E11/3,IF(C11="2 - dalinai įgyvendinta",2*$E11/3,$E11)))</f>
        <v>0</v>
      </c>
      <c r="G11" s="51">
        <f t="shared" ref="G11:G13" si="4">IF(D11="0 - netaikoma",0*$E11,IF(D11="1 -  planuota, bet neįgyvendinta",$E11/3,IF(D11="2 - dalinai įgyvendinta",2*$E11/3,$E11)))</f>
        <v>9.1666666666666667E-3</v>
      </c>
      <c r="J11" s="178"/>
      <c r="K11" s="178"/>
      <c r="L11" s="88"/>
      <c r="M11" s="178"/>
    </row>
    <row r="12" spans="1:13" ht="45" customHeight="1">
      <c r="A12" s="35">
        <v>2</v>
      </c>
      <c r="B12" s="93" t="s">
        <v>199</v>
      </c>
      <c r="C12" s="85" t="s">
        <v>80</v>
      </c>
      <c r="D12" s="85" t="s">
        <v>82</v>
      </c>
      <c r="E12" s="11">
        <f>0.25*0.055</f>
        <v>1.375E-2</v>
      </c>
      <c r="F12" s="104">
        <f t="shared" si="3"/>
        <v>0</v>
      </c>
      <c r="G12" s="51">
        <f t="shared" si="4"/>
        <v>9.1666666666666667E-3</v>
      </c>
      <c r="J12" s="178"/>
      <c r="K12" s="178"/>
      <c r="L12" s="88"/>
      <c r="M12" s="178"/>
    </row>
    <row r="13" spans="1:13" ht="38.25" customHeight="1">
      <c r="A13" s="35">
        <v>3</v>
      </c>
      <c r="B13" s="93" t="s">
        <v>159</v>
      </c>
      <c r="C13" s="85" t="s">
        <v>80</v>
      </c>
      <c r="D13" s="85" t="s">
        <v>82</v>
      </c>
      <c r="E13" s="11">
        <f>0.5*0.055</f>
        <v>2.75E-2</v>
      </c>
      <c r="F13" s="104">
        <f t="shared" si="3"/>
        <v>0</v>
      </c>
      <c r="G13" s="51">
        <f t="shared" si="4"/>
        <v>1.8333333333333333E-2</v>
      </c>
      <c r="J13" s="178"/>
      <c r="K13" s="178"/>
      <c r="L13" s="88"/>
      <c r="M13" s="178"/>
    </row>
    <row r="14" spans="1:13">
      <c r="A14" s="35" t="s">
        <v>5</v>
      </c>
      <c r="B14" s="12"/>
      <c r="C14" s="162" t="s">
        <v>152</v>
      </c>
      <c r="D14" s="163"/>
      <c r="E14" s="164"/>
      <c r="F14" s="105">
        <f>SUM(F11:F13)</f>
        <v>0</v>
      </c>
      <c r="G14" s="68">
        <f>SUM(G11:G13)</f>
        <v>3.6666666666666667E-2</v>
      </c>
      <c r="H14" s="61" t="s">
        <v>189</v>
      </c>
      <c r="I14" s="63"/>
      <c r="J14" s="71"/>
      <c r="K14" s="71"/>
      <c r="L14" s="71"/>
      <c r="M14" s="71"/>
    </row>
    <row r="15" spans="1:13">
      <c r="A15" s="34" t="s">
        <v>24</v>
      </c>
      <c r="B15" s="81" t="s">
        <v>160</v>
      </c>
      <c r="C15" s="60"/>
      <c r="D15" s="70"/>
      <c r="E15" s="70"/>
      <c r="F15" s="103"/>
      <c r="G15" s="45"/>
      <c r="I15" s="9" t="s">
        <v>24</v>
      </c>
      <c r="J15" s="178" t="s">
        <v>247</v>
      </c>
      <c r="K15" s="178" t="s">
        <v>29</v>
      </c>
      <c r="L15" s="88"/>
      <c r="M15" s="178" t="s">
        <v>29</v>
      </c>
    </row>
    <row r="16" spans="1:13" ht="46.5" customHeight="1">
      <c r="A16" s="35">
        <v>1</v>
      </c>
      <c r="B16" s="93" t="s">
        <v>182</v>
      </c>
      <c r="C16" s="85" t="s">
        <v>83</v>
      </c>
      <c r="D16" s="85" t="s">
        <v>83</v>
      </c>
      <c r="E16" s="11">
        <f>0.25*0.055</f>
        <v>1.375E-2</v>
      </c>
      <c r="F16" s="104">
        <f t="shared" ref="F16:F19" si="5">IF(C16="0 - netaikoma",0*$E16,IF(C16="1 -  planuota, bet neįgyvendinta",$E16/3,IF(C16="2 - dalinai įgyvendinta",2*$E16/3,$E16)))</f>
        <v>1.375E-2</v>
      </c>
      <c r="G16" s="51">
        <f t="shared" ref="G16:G19" si="6">IF(D16="0 - netaikoma",0*$E16,IF(D16="1 -  planuota, bet neįgyvendinta",$E16/3,IF(D16="2 - dalinai įgyvendinta",2*$E16/3,$E16)))</f>
        <v>1.375E-2</v>
      </c>
      <c r="J16" s="178"/>
      <c r="K16" s="178"/>
      <c r="L16" s="88"/>
      <c r="M16" s="178"/>
    </row>
    <row r="17" spans="1:13" ht="42" customHeight="1">
      <c r="A17" s="35">
        <v>2</v>
      </c>
      <c r="B17" s="93" t="s">
        <v>161</v>
      </c>
      <c r="C17" s="85" t="s">
        <v>83</v>
      </c>
      <c r="D17" s="85" t="s">
        <v>83</v>
      </c>
      <c r="E17" s="11">
        <f t="shared" ref="E17:E19" si="7">0.25*0.055</f>
        <v>1.375E-2</v>
      </c>
      <c r="F17" s="104">
        <f t="shared" si="5"/>
        <v>1.375E-2</v>
      </c>
      <c r="G17" s="51">
        <f t="shared" si="6"/>
        <v>1.375E-2</v>
      </c>
      <c r="J17" s="178"/>
      <c r="K17" s="178"/>
      <c r="L17" s="88"/>
      <c r="M17" s="178"/>
    </row>
    <row r="18" spans="1:13" ht="36.75" customHeight="1">
      <c r="A18" s="35">
        <v>3</v>
      </c>
      <c r="B18" s="93" t="s">
        <v>162</v>
      </c>
      <c r="C18" s="85" t="s">
        <v>80</v>
      </c>
      <c r="D18" s="85" t="s">
        <v>83</v>
      </c>
      <c r="E18" s="11">
        <f t="shared" si="7"/>
        <v>1.375E-2</v>
      </c>
      <c r="F18" s="104">
        <f t="shared" si="5"/>
        <v>0</v>
      </c>
      <c r="G18" s="51">
        <f t="shared" si="6"/>
        <v>1.375E-2</v>
      </c>
      <c r="J18" s="178"/>
      <c r="K18" s="178"/>
      <c r="L18" s="88"/>
      <c r="M18" s="178"/>
    </row>
    <row r="19" spans="1:13" ht="48" customHeight="1">
      <c r="A19" s="35">
        <v>4</v>
      </c>
      <c r="B19" s="94" t="s">
        <v>183</v>
      </c>
      <c r="C19" s="85" t="s">
        <v>83</v>
      </c>
      <c r="D19" s="85" t="s">
        <v>83</v>
      </c>
      <c r="E19" s="11">
        <f t="shared" si="7"/>
        <v>1.375E-2</v>
      </c>
      <c r="F19" s="104">
        <f t="shared" si="5"/>
        <v>1.375E-2</v>
      </c>
      <c r="G19" s="51">
        <f t="shared" si="6"/>
        <v>1.375E-2</v>
      </c>
      <c r="J19" s="178"/>
      <c r="K19" s="178"/>
      <c r="L19" s="88"/>
      <c r="M19" s="178"/>
    </row>
    <row r="20" spans="1:13">
      <c r="A20" s="35" t="s">
        <v>5</v>
      </c>
      <c r="B20" s="12"/>
      <c r="C20" s="162" t="s">
        <v>153</v>
      </c>
      <c r="D20" s="163"/>
      <c r="E20" s="164"/>
      <c r="F20" s="105">
        <f>SUM(F16:F19)</f>
        <v>4.1250000000000002E-2</v>
      </c>
      <c r="G20" s="68">
        <f>SUM(G16:G19)</f>
        <v>5.5E-2</v>
      </c>
      <c r="H20" s="61" t="s">
        <v>189</v>
      </c>
      <c r="I20" s="63"/>
      <c r="J20" s="71"/>
      <c r="K20" s="71"/>
      <c r="L20" s="71"/>
      <c r="M20" s="71"/>
    </row>
    <row r="21" spans="1:13">
      <c r="A21" s="34" t="s">
        <v>22</v>
      </c>
      <c r="B21" s="75" t="s">
        <v>163</v>
      </c>
      <c r="C21" s="60"/>
      <c r="D21" s="70"/>
      <c r="E21" s="70"/>
      <c r="F21" s="103"/>
      <c r="G21" s="45"/>
      <c r="I21" s="9" t="s">
        <v>22</v>
      </c>
      <c r="J21" s="178" t="s">
        <v>249</v>
      </c>
      <c r="K21" s="178" t="s">
        <v>248</v>
      </c>
      <c r="L21" s="88"/>
      <c r="M21" s="178" t="s">
        <v>250</v>
      </c>
    </row>
    <row r="22" spans="1:13" ht="87.75" customHeight="1">
      <c r="A22" s="35">
        <v>1</v>
      </c>
      <c r="B22" s="93" t="s">
        <v>164</v>
      </c>
      <c r="C22" s="85" t="s">
        <v>83</v>
      </c>
      <c r="D22" s="85" t="s">
        <v>83</v>
      </c>
      <c r="E22" s="32">
        <f>0.035</f>
        <v>3.5000000000000003E-2</v>
      </c>
      <c r="F22" s="104">
        <f>IF(C22="0 - netaikoma",0*$E22,IF(C22="1 -  planuota, bet neįgyvendinta",$E22/3,IF(C22="2 - dalinai įgyvendinta",2*$E22/3,$E22)))</f>
        <v>3.5000000000000003E-2</v>
      </c>
      <c r="G22" s="51">
        <f>IF(D22="0 - netaikoma",0*$E22,IF(D22="1 -  planuota, bet neįgyvendinta",$E22/3,IF(D22="2 - dalinai įgyvendinta",2*$E22/3,$E22)))</f>
        <v>3.5000000000000003E-2</v>
      </c>
      <c r="J22" s="178"/>
      <c r="K22" s="178"/>
      <c r="L22" s="88"/>
      <c r="M22" s="178"/>
    </row>
    <row r="23" spans="1:13" ht="15" thickBot="1">
      <c r="A23" s="35" t="s">
        <v>5</v>
      </c>
      <c r="B23" s="12"/>
      <c r="C23" s="162" t="s">
        <v>154</v>
      </c>
      <c r="D23" s="163"/>
      <c r="E23" s="164"/>
      <c r="F23" s="105">
        <f>SUM(F22:F22)</f>
        <v>3.5000000000000003E-2</v>
      </c>
      <c r="G23" s="68">
        <f>SUM(G22)</f>
        <v>3.5000000000000003E-2</v>
      </c>
      <c r="H23" s="61" t="s">
        <v>190</v>
      </c>
      <c r="I23" s="63"/>
    </row>
    <row r="24" spans="1:13" ht="15" thickBot="1">
      <c r="D24" s="97" t="s">
        <v>156</v>
      </c>
      <c r="F24" s="106">
        <f>SUM(F9,F14,F20,F23)</f>
        <v>9.0916666666666673E-2</v>
      </c>
      <c r="G24" s="67">
        <f>SUM(G9,G14,G20,G23)</f>
        <v>0.17433333333333334</v>
      </c>
    </row>
    <row r="25" spans="1:13">
      <c r="D25" s="98" t="s">
        <v>155</v>
      </c>
      <c r="E25" s="14"/>
      <c r="F25" s="107">
        <v>20</v>
      </c>
      <c r="G25" s="80">
        <v>20</v>
      </c>
    </row>
    <row r="27" spans="1:13" customFormat="1" ht="32.25" customHeight="1">
      <c r="A27" s="160" t="s">
        <v>134</v>
      </c>
      <c r="B27" s="160"/>
      <c r="C27" s="161" t="s">
        <v>184</v>
      </c>
      <c r="D27" s="161"/>
      <c r="E27" s="161"/>
      <c r="F27" s="161"/>
      <c r="G27" s="161"/>
      <c r="H27" s="161"/>
      <c r="I27" s="161"/>
      <c r="J27" s="44"/>
      <c r="K27" s="44"/>
    </row>
  </sheetData>
  <sheetProtection password="CE28" sheet="1" objects="1" scenarios="1" formatRows="0"/>
  <mergeCells count="18">
    <mergeCell ref="K15:K19"/>
    <mergeCell ref="M15:M19"/>
    <mergeCell ref="J21:J22"/>
    <mergeCell ref="K21:K22"/>
    <mergeCell ref="M21:M22"/>
    <mergeCell ref="J15:J19"/>
    <mergeCell ref="J3:J8"/>
    <mergeCell ref="K3:K8"/>
    <mergeCell ref="M3:M8"/>
    <mergeCell ref="J10:J13"/>
    <mergeCell ref="K10:K13"/>
    <mergeCell ref="M10:M13"/>
    <mergeCell ref="A27:B27"/>
    <mergeCell ref="C27:I27"/>
    <mergeCell ref="C23:E23"/>
    <mergeCell ref="C9:E9"/>
    <mergeCell ref="C14:E14"/>
    <mergeCell ref="C20:E20"/>
  </mergeCells>
  <dataValidations count="1">
    <dataValidation type="list" allowBlank="1" showInputMessage="1" showErrorMessage="1" sqref="C16:D19 C11:D13 C4:D8 C22:D22">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&amp;LAutorinės teisės&amp;CŠis produktas yra priskirtas kūrybinių bendrijų licencijai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Vertinimo kriterijai</vt:lpstr>
      <vt:lpstr>A - Didaktiniai kriterijai</vt:lpstr>
      <vt:lpstr>B - Informacinės technologijos</vt:lpstr>
      <vt:lpstr>C - Struktūra ir dizainas</vt:lpstr>
      <vt:lpstr>D - Mokymosi organizavimas</vt:lpstr>
      <vt:lpstr>'A - Didaktiniai kriterijai'!Print_Area</vt:lpstr>
      <vt:lpstr>'B - Informacinės technologijos'!Print_Area</vt:lpstr>
      <vt:lpstr>'C - Struktūra ir dizainas'!Print_Area</vt:lpstr>
      <vt:lpstr>'D - Mokymosi organizavimas'!Print_Area</vt:lpstr>
      <vt:lpstr>'A - Didaktiniai kriterijai'!Print_Titles</vt:lpstr>
      <vt:lpstr>'B - Informacinės technologijos'!Print_Titles</vt:lpstr>
      <vt:lpstr>'C - Struktūra ir dizainas'!Print_Titles</vt:lpstr>
      <vt:lpstr>'D - Mokymosi organizavimas'!Print_Titles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Airina</dc:creator>
  <cp:lastModifiedBy>Pieva</cp:lastModifiedBy>
  <cp:lastPrinted>2014-03-25T11:42:31Z</cp:lastPrinted>
  <dcterms:created xsi:type="dcterms:W3CDTF">2012-06-19T07:09:26Z</dcterms:created>
  <dcterms:modified xsi:type="dcterms:W3CDTF">2014-04-25T19:09:16Z</dcterms:modified>
</cp:coreProperties>
</file>