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7520" windowHeight="9135"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25725"/>
</workbook>
</file>

<file path=xl/calcChain.xml><?xml version="1.0" encoding="utf-8"?>
<calcChain xmlns="http://schemas.openxmlformats.org/spreadsheetml/2006/main">
  <c r="G22" i="11"/>
  <c r="F22" l="1"/>
  <c r="F23" s="1"/>
  <c r="E17"/>
  <c r="G17" s="1"/>
  <c r="E18"/>
  <c r="E19"/>
  <c r="G19" s="1"/>
  <c r="E16"/>
  <c r="G16" s="1"/>
  <c r="E13"/>
  <c r="G13" s="1"/>
  <c r="G23"/>
  <c r="F19"/>
  <c r="F17"/>
  <c r="F16"/>
  <c r="F13"/>
  <c r="E12"/>
  <c r="E11"/>
  <c r="E5"/>
  <c r="G5" s="1"/>
  <c r="E6"/>
  <c r="G6" s="1"/>
  <c r="E7"/>
  <c r="G7" s="1"/>
  <c r="E8"/>
  <c r="G8" s="1"/>
  <c r="F5"/>
  <c r="F6"/>
  <c r="F7"/>
  <c r="F8"/>
  <c r="E4"/>
  <c r="E34" i="10"/>
  <c r="G34" s="1"/>
  <c r="E33"/>
  <c r="G33" s="1"/>
  <c r="E29" i="4"/>
  <c r="E28"/>
  <c r="E25"/>
  <c r="E24"/>
  <c r="E21"/>
  <c r="E20"/>
  <c r="E17"/>
  <c r="E16"/>
  <c r="E15"/>
  <c r="F18" i="11" l="1"/>
  <c r="G18"/>
  <c r="F4"/>
  <c r="F9" s="1"/>
  <c r="G4"/>
  <c r="G9" s="1"/>
  <c r="F12"/>
  <c r="G12"/>
  <c r="F11"/>
  <c r="F14" s="1"/>
  <c r="G11"/>
  <c r="G14" s="1"/>
  <c r="G35" i="10"/>
  <c r="F33"/>
  <c r="F34"/>
  <c r="F20" i="11"/>
  <c r="G20"/>
  <c r="E12" i="4"/>
  <c r="E11"/>
  <c r="G11" s="1"/>
  <c r="E10"/>
  <c r="G10" s="1"/>
  <c r="E9"/>
  <c r="G9" s="1"/>
  <c r="G29"/>
  <c r="F29"/>
  <c r="G28"/>
  <c r="F28"/>
  <c r="G25"/>
  <c r="F25"/>
  <c r="G24"/>
  <c r="G26" s="1"/>
  <c r="F24"/>
  <c r="G21"/>
  <c r="F21"/>
  <c r="G20"/>
  <c r="F20"/>
  <c r="G17"/>
  <c r="F17"/>
  <c r="G16"/>
  <c r="F16"/>
  <c r="G15"/>
  <c r="F15"/>
  <c r="G12"/>
  <c r="F12"/>
  <c r="E6"/>
  <c r="G6" s="1"/>
  <c r="E5"/>
  <c r="G5" s="1"/>
  <c r="E4"/>
  <c r="G4" s="1"/>
  <c r="F4"/>
  <c r="E39" i="8"/>
  <c r="F39" s="1"/>
  <c r="E40"/>
  <c r="F40" s="1"/>
  <c r="E41"/>
  <c r="F41" s="1"/>
  <c r="E42"/>
  <c r="F42" s="1"/>
  <c r="E35"/>
  <c r="F35" s="1"/>
  <c r="E34"/>
  <c r="E36"/>
  <c r="F36" s="1"/>
  <c r="E33"/>
  <c r="G33" s="1"/>
  <c r="E32"/>
  <c r="F32" s="1"/>
  <c r="F34"/>
  <c r="F33"/>
  <c r="E29"/>
  <c r="F29" s="1"/>
  <c r="E28"/>
  <c r="F28" s="1"/>
  <c r="E27"/>
  <c r="F27" s="1"/>
  <c r="E24"/>
  <c r="E23"/>
  <c r="E22"/>
  <c r="F22" s="1"/>
  <c r="E19"/>
  <c r="G19" s="1"/>
  <c r="E20"/>
  <c r="E21"/>
  <c r="G21" s="1"/>
  <c r="E18"/>
  <c r="F18" s="1"/>
  <c r="E17"/>
  <c r="F17" s="1"/>
  <c r="F24"/>
  <c r="G41"/>
  <c r="G40"/>
  <c r="G36"/>
  <c r="G34"/>
  <c r="G29"/>
  <c r="G28"/>
  <c r="G24"/>
  <c r="G23"/>
  <c r="G22"/>
  <c r="G20"/>
  <c r="F23"/>
  <c r="F21"/>
  <c r="F20"/>
  <c r="F19"/>
  <c r="E13"/>
  <c r="G13" s="1"/>
  <c r="E12"/>
  <c r="G12" s="1"/>
  <c r="E11"/>
  <c r="G11" s="1"/>
  <c r="E9"/>
  <c r="G9" s="1"/>
  <c r="E14"/>
  <c r="G14" s="1"/>
  <c r="E10"/>
  <c r="G10" s="1"/>
  <c r="F11"/>
  <c r="F9"/>
  <c r="G35" l="1"/>
  <c r="G17"/>
  <c r="F10" i="4"/>
  <c r="F13" i="8"/>
  <c r="G18"/>
  <c r="G32"/>
  <c r="G42"/>
  <c r="F12"/>
  <c r="F10"/>
  <c r="F14"/>
  <c r="G27"/>
  <c r="G30" s="1"/>
  <c r="G39"/>
  <c r="G43" s="1"/>
  <c r="F30" i="4"/>
  <c r="F26"/>
  <c r="F22"/>
  <c r="F24" i="11"/>
  <c r="F11" i="4"/>
  <c r="F5"/>
  <c r="G13"/>
  <c r="F9"/>
  <c r="G24" i="11"/>
  <c r="J28" i="1" s="1"/>
  <c r="G7" i="4"/>
  <c r="F6"/>
  <c r="G30"/>
  <c r="G22"/>
  <c r="G18"/>
  <c r="F18"/>
  <c r="G15" i="8"/>
  <c r="G37"/>
  <c r="F37"/>
  <c r="F30"/>
  <c r="G25"/>
  <c r="F25"/>
  <c r="F15"/>
  <c r="F13" i="4" l="1"/>
  <c r="G31"/>
  <c r="J26" i="1" s="1"/>
  <c r="F7" i="4"/>
  <c r="E30" i="10"/>
  <c r="G30" s="1"/>
  <c r="E29"/>
  <c r="G29" s="1"/>
  <c r="E28"/>
  <c r="G28" s="1"/>
  <c r="F28"/>
  <c r="E25"/>
  <c r="G25" s="1"/>
  <c r="E24"/>
  <c r="G24" s="1"/>
  <c r="E21"/>
  <c r="E20"/>
  <c r="G20" s="1"/>
  <c r="E19"/>
  <c r="G19" s="1"/>
  <c r="E18"/>
  <c r="G18" s="1"/>
  <c r="E17"/>
  <c r="G17" s="1"/>
  <c r="E14"/>
  <c r="G14" s="1"/>
  <c r="E13"/>
  <c r="G13" s="1"/>
  <c r="E12"/>
  <c r="G12" s="1"/>
  <c r="E11"/>
  <c r="G11" s="1"/>
  <c r="F21" l="1"/>
  <c r="G21"/>
  <c r="F30"/>
  <c r="F17"/>
  <c r="F29"/>
  <c r="F31" s="1"/>
  <c r="F19"/>
  <c r="F25"/>
  <c r="G26"/>
  <c r="G15"/>
  <c r="F11"/>
  <c r="F18"/>
  <c r="F20"/>
  <c r="G22"/>
  <c r="F24"/>
  <c r="G31"/>
  <c r="F26" l="1"/>
  <c r="F22"/>
  <c r="E8"/>
  <c r="G8" s="1"/>
  <c r="E7"/>
  <c r="G7" s="1"/>
  <c r="E6"/>
  <c r="G6" s="1"/>
  <c r="E5"/>
  <c r="G5" s="1"/>
  <c r="E4"/>
  <c r="G4" s="1"/>
  <c r="F6"/>
  <c r="F8"/>
  <c r="F7" l="1"/>
  <c r="F4"/>
  <c r="E9"/>
  <c r="F5"/>
  <c r="G9"/>
  <c r="F14"/>
  <c r="F13"/>
  <c r="F12"/>
  <c r="E6" i="8"/>
  <c r="G6" s="1"/>
  <c r="E5"/>
  <c r="G5" s="1"/>
  <c r="E4"/>
  <c r="G4" s="1"/>
  <c r="F9" i="10" l="1"/>
  <c r="F35"/>
  <c r="G7" i="8"/>
  <c r="F15" i="10"/>
  <c r="F5" i="8"/>
  <c r="F6"/>
  <c r="F4"/>
  <c r="F7" l="1"/>
  <c r="F43" l="1"/>
  <c r="G44" l="1"/>
  <c r="J25" i="1" s="1"/>
  <c r="F44" i="8"/>
  <c r="J21" i="1"/>
  <c r="F31" i="4" l="1"/>
  <c r="J19" i="1" s="1"/>
  <c r="J18"/>
  <c r="F36" i="10" l="1"/>
  <c r="J20" i="1" s="1"/>
  <c r="J16" s="1"/>
  <c r="G36" i="10" l="1"/>
  <c r="J27" i="1" s="1"/>
  <c r="J23" s="1"/>
</calcChain>
</file>

<file path=xl/comments1.xml><?xml version="1.0" encoding="utf-8"?>
<comments xmlns="http://schemas.openxmlformats.org/spreadsheetml/2006/main">
  <authors>
    <author>Author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<sst xmlns="http://schemas.openxmlformats.org/spreadsheetml/2006/main" count="519" uniqueCount="245">
  <si>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</si>
  <si>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</si>
  <si>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</si>
  <si>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</si>
  <si>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</si>
  <si>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</si>
  <si>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</si>
  <si>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</si>
  <si>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</si>
  <si>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</si>
  <si>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</si>
  <si>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</si>
  <si>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</si>
  <si>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</si>
  <si>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</si>
  <si>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</si>
  <si>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</si>
  <si>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</si>
  <si>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</si>
  <si>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</si>
  <si>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</si>
  <si>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</si>
  <si>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</si>
  <si>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</si>
  <si>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</si>
  <si>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</si>
  <si>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</si>
  <si>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</si>
  <si>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</si>
  <si>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</si>
  <si>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</si>
  <si>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</si>
  <si>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</si>
  <si>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</si>
  <si>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</si>
  <si>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</si>
  <si>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</si>
  <si>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</si>
  <si>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</si>
  <si>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</si>
  <si>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</si>
  <si>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</si>
  <si>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</si>
  <si>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</si>
  <si>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</si>
  <si>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</si>
  <si>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</si>
  <si>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</si>
  <si>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</si>
  <si>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</si>
  <si>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</si>
  <si>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</si>
  <si>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</si>
  <si>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</si>
  <si>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</si>
  <si>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</si>
  <si>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</si>
  <si>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</si>
  <si>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</si>
  <si>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</si>
  <si>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</si>
  <si>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</si>
  <si>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</si>
  <si>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</si>
  <si>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</si>
  <si>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</si>
  <si>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</si>
  <si>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</si>
  <si>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</si>
  <si>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</si>
  <si>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</si>
  <si>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</si>
  <si>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</si>
  <si>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</si>
  <si>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</si>
  <si>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</si>
  <si>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</si>
  <si>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</si>
  <si>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</si>
  <si>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</si>
  <si>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</si>
  <si>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</si>
  <si>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</si>
  <si>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</si>
  <si>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</si>
  <si>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</si>
  <si>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</si>
  <si>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</si>
  <si>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</si>
  <si>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</si>
  <si>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</si>
  <si>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</si>
  <si>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</si>
  <si>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</si>
  <si>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</si>
  <si>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</si>
  <si>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</si>
  <si>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</si>
  <si>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</si>
  <si>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</si>
  <si>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</si>
  <si>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</si>
  <si>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</si>
  <si>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</si>
  <si>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</si>
  <si>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</si>
  <si>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</si>
  <si>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</si>
  <si>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</si>
  <si>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</si>
  <si>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</si>
  <si>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</si>
  <si>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</si>
  <si>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</si>
  <si>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</si>
  <si>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</si>
  <si>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</si>
  <si>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</si>
  <si>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</si>
  <si>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</si>
  <si>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 for public/confidential use</t>
    </r>
    <r>
      <rPr>
        <b/>
        <sz val="11"/>
        <rFont val="Calibri"/>
        <family val="2"/>
        <charset val="186"/>
        <scheme val="minor"/>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</si>
  <si>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</si>
  <si>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</si>
  <si>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</si>
  <si>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</si>
  <si>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</si>
  <si>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</si>
  <si>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</si>
  <si>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</si>
  <si>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</si>
  <si>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</si>
  <si>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</si>
  <si>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</si>
  <si>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</si>
  <si>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</si>
  <si>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</si>
  <si>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</si>
  <si>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</si>
  <si>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</si>
  <si>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</si>
  <si>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</si>
  <si>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</si>
  <si>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</si>
  <si>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</si>
  <si>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</si>
  <si>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</si>
  <si>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</si>
  <si>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</si>
  <si>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</si>
  <si>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</si>
  <si>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</si>
  <si>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</si>
  <si>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</si>
  <si>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</si>
  <si>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</si>
  <si>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</si>
  <si>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</si>
  <si>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</si>
  <si>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</si>
  <si>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</si>
  <si>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</si>
  <si>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</si>
  <si>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</si>
  <si>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</si>
  <si>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t>Total per A1:</t>
  </si>
  <si>
    <t>Total per A2:</t>
  </si>
  <si>
    <t>Total per A3:</t>
  </si>
  <si>
    <t>Total per A4:</t>
  </si>
  <si>
    <t>Total per A5:</t>
  </si>
  <si>
    <t>Total per A6:</t>
  </si>
  <si>
    <t>Total per group A:</t>
  </si>
  <si>
    <r>
      <t>Comments and measures for improvement 
(</t>
    </r>
    <r>
      <rPr>
        <b/>
        <sz val="11"/>
        <color rgb="FF0070C0"/>
        <rFont val="Calibri"/>
        <family val="2"/>
        <scheme val="minor"/>
      </rPr>
      <t>Column filled in by case authors, for public/ confidential use</t>
    </r>
    <r>
      <rPr>
        <b/>
        <sz val="11"/>
        <rFont val="Calibri"/>
        <family val="2"/>
        <charset val="186"/>
        <scheme val="minor"/>
      </rPr>
      <t>)</t>
    </r>
  </si>
  <si>
    <t>Total per B1:</t>
  </si>
  <si>
    <t>Total per B2:</t>
  </si>
  <si>
    <t>Total per B3:</t>
  </si>
  <si>
    <t>Total per group B:</t>
  </si>
  <si>
    <r>
      <t>Comments and measures for improvement 
(</t>
    </r>
    <r>
      <rPr>
        <b/>
        <sz val="11"/>
        <color rgb="FF0070C0"/>
        <rFont val="Calibri"/>
        <family val="2"/>
        <scheme val="minor"/>
      </rPr>
      <t>Column filled in by peer reviewers, for confidential use</t>
    </r>
    <r>
      <rPr>
        <b/>
        <sz val="11"/>
        <rFont val="Calibri"/>
        <family val="2"/>
        <charset val="186"/>
        <scheme val="minor"/>
      </rPr>
      <t>)</t>
    </r>
  </si>
  <si>
    <t>Total per C4:</t>
  </si>
  <si>
    <t>Total per C5:</t>
  </si>
  <si>
    <t>Total per C6:</t>
  </si>
  <si>
    <t>Total per group D:</t>
  </si>
  <si>
    <t>Max in the group</t>
  </si>
  <si>
    <t>Total per B4:</t>
  </si>
  <si>
    <t>Total per B5:</t>
  </si>
  <si>
    <t>Total per B6:</t>
  </si>
  <si>
    <t>Total per D1:</t>
  </si>
  <si>
    <t>Total per D2:</t>
  </si>
  <si>
    <t>Total per D3:</t>
  </si>
  <si>
    <t>Total per D4:</t>
  </si>
  <si>
    <r>
      <t xml:space="preserve">Quality criteria for ICT integration </t>
    </r>
    <r>
      <rPr>
        <b/>
        <sz val="11"/>
        <rFont val="Calibri"/>
        <family val="2"/>
      </rPr>
      <t>on Curriculum level - SELF-ASSESSMENT, CASE DEVELOPMENT, AND PEER REVIEW TEMPLATE</t>
    </r>
  </si>
  <si>
    <t xml:space="preserve">Minimum requirement for attestation  </t>
  </si>
  <si>
    <r>
      <t>Comments and measures for improvement 
(</t>
    </r>
    <r>
      <rPr>
        <b/>
        <sz val="11"/>
        <color rgb="FF0070C0"/>
        <rFont val="Calibri"/>
        <family val="2"/>
        <scheme val="minor"/>
      </rPr>
      <t>Column filled in by case authors, for public/</t>
    </r>
    <r>
      <rPr>
        <sz val="11"/>
        <color rgb="FF0070C0"/>
        <rFont val="Calibri"/>
        <family val="2"/>
        <charset val="186"/>
        <scheme val="minor"/>
      </rPr>
      <t>confidential</t>
    </r>
    <r>
      <rPr>
        <b/>
        <sz val="11"/>
        <color rgb="FF0070C0"/>
        <rFont val="Calibri"/>
        <family val="2"/>
        <scheme val="minor"/>
      </rPr>
      <t xml:space="preserve"> use</t>
    </r>
    <r>
      <rPr>
        <b/>
        <sz val="11"/>
        <rFont val="Calibri"/>
        <family val="2"/>
        <charset val="186"/>
        <scheme val="minor"/>
      </rPr>
      <t>)</t>
    </r>
  </si>
  <si>
    <t>max 5</t>
  </si>
  <si>
    <t>max 4,5</t>
  </si>
  <si>
    <t>max 7,5</t>
  </si>
  <si>
    <t>max 6</t>
  </si>
  <si>
    <t>max 3</t>
  </si>
  <si>
    <t>max 4</t>
  </si>
  <si>
    <t>max 2</t>
  </si>
  <si>
    <t>max 5,5</t>
  </si>
  <si>
    <t>max 3,5</t>
  </si>
  <si>
    <r>
      <t>Comments and measures for improvement 
(</t>
    </r>
    <r>
      <rPr>
        <b/>
        <sz val="11"/>
        <color rgb="FF0070C0"/>
        <rFont val="Calibri"/>
        <family val="2"/>
        <scheme val="minor"/>
      </rPr>
      <t>Column filled in by case authors</t>
    </r>
    <r>
      <rPr>
        <b/>
        <sz val="11"/>
        <color rgb="FF0070C0"/>
        <rFont val="Calibri"/>
        <family val="2"/>
        <scheme val="minor"/>
      </rPr>
      <t>, for public/confidential use</t>
    </r>
    <r>
      <rPr>
        <b/>
        <sz val="11"/>
        <rFont val="Calibri"/>
        <family val="2"/>
        <charset val="186"/>
        <scheme val="minor"/>
      </rPr>
      <t>)</t>
    </r>
  </si>
  <si>
    <t>Learning objectives are clearly presented in syllabus and student guide. Learners are provided with information about learning objectives and basic skills they should reach. They are informed about tasks, resources to reach course objectives.</t>
  </si>
  <si>
    <t>Learning method is presented in syllabus and learner guide. There are some learning methods used in the course: case analysis, reflections, individual work with recommended sources. These methods allow students rather to work individually, but they discuss in groups as well. Learners study course material individually, but variety of methods (case analysis, self-assessment) allows to study it not only passive, but active as well.</t>
  </si>
  <si>
    <t>Overall assessment strategy is clearly and in detail presented in syllabus. Learners are familiarized with assessment criteria not only in the syllabus, but in teacher's introduce as well. Learners are not allowed to suggest their assessment strategy. Each course chapter ends with self-assessment. Each assessment is discussed in forum. Learners have possibility to discuss self-assessment results as well. Teacher use some assessment tools: learners are examined doing tests or sending research work.</t>
  </si>
  <si>
    <t xml:space="preserve">Learners should have a better possibility to participate in assessment strategy creation. Learners active collaboration should improve their metacognition skills. </t>
  </si>
  <si>
    <t>There are links to OER, but creators of curriculum use only links to articles. References are used in a proper way.</t>
  </si>
  <si>
    <t xml:space="preserve">Learners should be more encouraged to collaborate in using OER. </t>
  </si>
  <si>
    <t>Learning assignments are described in student guide. It is pointed learning objectives and outcomes that should be reached, but there are no presentation of each assignment. Recommended strategy to implement assignments, evaluation criteria are suggested in student guide. Learners are provided with assignment performance schedule at the beggining of learning.</t>
  </si>
  <si>
    <t>Each assignment should be better described. Tools, evaluation of each assignment should be clearly presented.</t>
  </si>
  <si>
    <t>Tasks, case studies are related with professional activities. Course provides basic concepts, knowledges for law learners,but they are created considering real-life situations. But learners lack meetings with employers.</t>
  </si>
  <si>
    <t>Learners are provided with clear course (themes, self-assesment tasks etc.) navigation. Links to other themes and external resources work well.</t>
  </si>
  <si>
    <t>Course material is published in a friendly format, learners use standart tools. Learning materials can be read online or can be downloaded as well.</t>
  </si>
  <si>
    <t>Discussions, case studies are organized in traditional way. Graded discussion tools, journals, blogs etc. are not supposed in curriculum. All learners do the same tasks and then discuss the results in forums. Each participant use his/her own profile.</t>
  </si>
  <si>
    <t>Assessment and self-assessment take place in VLE using it's tools. Feedback is provided with VLE options.</t>
  </si>
  <si>
    <t>A glossary is provided in learning guide, but terms are not automatically linked with glossary.</t>
  </si>
  <si>
    <t>Real-time meetings take place every week in virtual classrooms (using forum tool). There are only few lectures records. The sound and video are transmitted simultanously.</t>
  </si>
  <si>
    <t>The language of study material is clear, logic, meets academic standarts, but the style is friendly. It is easy to understand basic concepts and ideas. Sound of filmed lectures is clear.</t>
  </si>
  <si>
    <t>Learners are in informed about content pre-requisites in syllabus (as the course introduces learners with fundaments of the theory of law no special pre-requisites are applicable). Learners are informed with technical pre-requisites before the checking into the course.</t>
  </si>
  <si>
    <t>Course content is not media rich, it is based on text. Every chapter of materials ends with graphs, pictures, which empower and explain the text. Elements are consistent, but the main important places should be more highlighted. Software used in the course conforms to recent standarts of version.</t>
  </si>
  <si>
    <t>The material of curriculum abides copyright issues, references are adequately, but the material lack information about potential re-use.</t>
  </si>
  <si>
    <t>Learners are provided with clear curriculum content which is represented in a table o contents. The course learning is organized from simpler to the most complicated concepts. But learners have poor possibility to create their path of learning.</t>
  </si>
  <si>
    <t>Learners are informed about study resources in student guide and each chapter of material. Not all study resources are available for learners (especially for learners living abroud).</t>
  </si>
  <si>
    <t>Course learning is based on communication between teacher and learner, but student's discussions are encouraged as well. Synchronous communication is planned in learner guide and it takes place in discussion forums. Asynchronous communication is provided as well. Learners can appeal to teacher for help in discussion forum.</t>
  </si>
  <si>
    <t>Learners are provided with learner guide. They are supported with the information about organization, course curriculum, pedagogical help. Technical help information is provided in organization e-learning environment.</t>
  </si>
  <si>
    <t>Curriculum workload is based on ECTC competences. Learners are provided with the schedule of on-line meetings and consultations. They are supported with the information about assignements, but they lack a clear schedule.</t>
  </si>
  <si>
    <t>Learner feedback is only planned.</t>
  </si>
  <si>
    <t>Group work with different tasks can be created.</t>
  </si>
  <si>
    <t>Terms should have links to glossary automatically.</t>
  </si>
  <si>
    <t>Learners should be provided with more filmed lectures.</t>
  </si>
  <si>
    <t>The material should be verified by editor in order to check grammar mistakes.</t>
  </si>
  <si>
    <t>Course material could be enriched by more OER (in multi-media format).</t>
  </si>
  <si>
    <t>Curriculum should have more clear informationa about potential re-use.</t>
  </si>
  <si>
    <t>Learning material could have more links to navigate not only to OER, but to other chapters of material.</t>
  </si>
  <si>
    <t xml:space="preserve">The course should be supported with more OER. </t>
  </si>
  <si>
    <t xml:space="preserve">Organization allows to use one e-learning platform (Moodle), but teachers can adjust it with other ICT tools.  </t>
  </si>
  <si>
    <t>As e-learning is considered to be a part of all study process in organization, learner feedback is supposed in special organisation's environment.</t>
  </si>
  <si>
    <t>Case title</t>
  </si>
  <si>
    <t xml:space="preserve">Quality criteria were developed by </t>
  </si>
  <si>
    <t>Airina Volungevičienė, Estela Daukšienė, Margarita Poškutė, Dalia Baziukė</t>
  </si>
  <si>
    <t>Institutions, 
affiliation</t>
  </si>
  <si>
    <t>Vytautas Magnus University, Revive VET project consortium</t>
  </si>
  <si>
    <t>Case authors</t>
  </si>
  <si>
    <t>Theory of Law</t>
  </si>
  <si>
    <t xml:space="preserve">Margarita Poškutė, Mykolas Romeris University; Estela Daukšienė, LieDM association </t>
  </si>
</sst>
</file>

<file path=xl/styles.xml><?xml version="1.0" encoding="utf-8"?>
<styleSheet xmlns="http://schemas.openxmlformats.org/spreadsheetml/2006/main">
  <numFmts count="2">
    <numFmt numFmtId="164" formatCode="0.0%"/>
    <numFmt numFmtId="165" formatCode="0.0"/>
  </numFmts>
  <fonts count="32">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sz val="11"/>
      <color rgb="FFFF0000"/>
      <name val="Calibri"/>
      <family val="2"/>
      <charset val="186"/>
      <scheme val="minor"/>
    </font>
    <font>
      <b/>
      <sz val="8"/>
      <color indexed="8"/>
      <name val="Calibri"/>
      <family val="2"/>
    </font>
    <font>
      <b/>
      <sz val="11"/>
      <name val="Calibri"/>
      <family val="2"/>
    </font>
    <font>
      <i/>
      <sz val="11"/>
      <color theme="1"/>
      <name val="Calibri"/>
      <family val="2"/>
      <scheme val="minor"/>
    </font>
    <font>
      <b/>
      <i/>
      <sz val="11"/>
      <name val="Calibri"/>
      <family val="2"/>
    </font>
    <font>
      <b/>
      <sz val="11"/>
      <name val="Calibri"/>
      <family val="2"/>
      <charset val="186"/>
      <scheme val="minor"/>
    </font>
    <font>
      <b/>
      <sz val="11"/>
      <color rgb="FF0070C0"/>
      <name val="Calibri"/>
      <family val="2"/>
      <scheme val="minor"/>
    </font>
    <font>
      <sz val="10"/>
      <color theme="1"/>
      <name val="Calibri"/>
      <family val="2"/>
      <charset val="186"/>
      <scheme val="minor"/>
    </font>
    <font>
      <sz val="10"/>
      <name val="Calibri"/>
      <family val="2"/>
      <charset val="186"/>
      <scheme val="minor"/>
    </font>
    <font>
      <sz val="10"/>
      <color rgb="FF0070C0"/>
      <name val="Calibri"/>
      <family val="2"/>
      <charset val="186"/>
      <scheme val="minor"/>
    </font>
    <font>
      <sz val="9"/>
      <color indexed="81"/>
      <name val="Tahoma"/>
      <family val="2"/>
    </font>
    <font>
      <b/>
      <sz val="9"/>
      <color indexed="81"/>
      <name val="Tahoma"/>
      <family val="2"/>
    </font>
    <font>
      <b/>
      <sz val="11"/>
      <color rgb="FF0070C0"/>
      <name val="Calibri"/>
      <family val="2"/>
      <charset val="186"/>
      <scheme val="minor"/>
    </font>
    <font>
      <sz val="11"/>
      <color theme="1"/>
      <name val="Calibri"/>
      <family val="2"/>
      <charset val="186"/>
      <scheme val="minor"/>
    </font>
    <font>
      <sz val="11"/>
      <color indexed="30"/>
      <name val="Calibri"/>
      <family val="2"/>
      <charset val="186"/>
    </font>
    <font>
      <sz val="11"/>
      <color rgb="FF0070C0"/>
      <name val="Calibri"/>
      <family val="2"/>
      <charset val="186"/>
      <scheme val="minor"/>
    </font>
    <font>
      <sz val="11"/>
      <name val="Calibri"/>
      <family val="2"/>
      <charset val="186"/>
      <scheme val="minor"/>
    </font>
    <font>
      <i/>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10"/>
      </bottom>
      <diagonal/>
    </border>
    <border>
      <left/>
      <right/>
      <top style="thin">
        <color indexed="64"/>
      </top>
      <bottom/>
      <diagonal/>
    </border>
    <border>
      <left style="medium">
        <color rgb="FFFF0000"/>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s>
  <cellStyleXfs count="2">
    <xf numFmtId="0" fontId="0" fillId="0" borderId="0"/>
    <xf numFmtId="9" fontId="27" fillId="0" borderId="0" applyFont="0" applyFill="0" applyBorder="0" applyAlignment="0" applyProtection="0"/>
  </cellStyleXfs>
  <cellXfs count="151">
    <xf numFmtId="0" fontId="0" fillId="0" borderId="0" xfId="0"/>
    <xf numFmtId="0" fontId="0" fillId="0" borderId="2" xfId="0" applyBorder="1"/>
    <xf numFmtId="0" fontId="0" fillId="0" borderId="3"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0" fillId="0" borderId="8"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1"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4" fillId="3" borderId="0" xfId="0" applyFont="1" applyFill="1"/>
    <xf numFmtId="0" fontId="5" fillId="3" borderId="0" xfId="0" applyFont="1" applyFill="1"/>
    <xf numFmtId="0" fontId="19" fillId="2" borderId="0" xfId="0" applyFont="1" applyFill="1" applyAlignment="1">
      <alignment horizontal="left" vertical="top"/>
    </xf>
    <xf numFmtId="0" fontId="21" fillId="0" borderId="0" xfId="0" applyFont="1" applyAlignment="1">
      <alignment horizontal="left" vertical="top"/>
    </xf>
    <xf numFmtId="0" fontId="21" fillId="0" borderId="1" xfId="0" applyFont="1" applyBorder="1" applyAlignment="1">
      <alignment horizontal="center" vertical="top"/>
    </xf>
    <xf numFmtId="10" fontId="13" fillId="0" borderId="0" xfId="0" applyNumberFormat="1"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left" vertical="top"/>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14"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9" fillId="0" borderId="1" xfId="0" applyFont="1" applyBorder="1" applyAlignment="1">
      <alignment horizontal="left" vertical="top"/>
    </xf>
    <xf numFmtId="0" fontId="17" fillId="0" borderId="0" xfId="0" applyFont="1" applyBorder="1" applyAlignment="1">
      <alignment horizontal="right" vertical="top"/>
    </xf>
    <xf numFmtId="0" fontId="28" fillId="0" borderId="9" xfId="0" applyFont="1" applyBorder="1" applyAlignment="1">
      <alignment horizontal="left" vertical="top" wrapText="1"/>
    </xf>
    <xf numFmtId="164" fontId="21" fillId="2" borderId="1" xfId="1" applyNumberFormat="1" applyFont="1" applyFill="1" applyBorder="1" applyAlignment="1">
      <alignment horizontal="center" vertical="top"/>
    </xf>
    <xf numFmtId="164" fontId="21" fillId="5" borderId="1" xfId="1" applyNumberFormat="1" applyFont="1" applyFill="1" applyBorder="1" applyAlignment="1">
      <alignment horizontal="center" vertical="top"/>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9" fontId="9" fillId="0" borderId="1" xfId="1" applyFont="1" applyBorder="1" applyAlignment="1">
      <alignment horizontal="left" vertical="top"/>
    </xf>
    <xf numFmtId="0" fontId="22" fillId="0" borderId="1" xfId="0" applyFont="1" applyBorder="1" applyAlignment="1">
      <alignment horizontal="center" vertical="top"/>
    </xf>
    <xf numFmtId="0" fontId="9" fillId="0" borderId="15" xfId="0" applyFont="1" applyBorder="1" applyAlignment="1">
      <alignment horizontal="left" vertical="top"/>
    </xf>
    <xf numFmtId="0" fontId="8" fillId="0" borderId="10" xfId="0" applyFont="1" applyBorder="1" applyAlignment="1">
      <alignment horizontal="left" vertical="top"/>
    </xf>
    <xf numFmtId="0" fontId="9" fillId="0" borderId="6" xfId="0" applyFont="1" applyBorder="1" applyAlignment="1">
      <alignment horizontal="left" vertical="center" wrapText="1"/>
    </xf>
    <xf numFmtId="0" fontId="26" fillId="2" borderId="1" xfId="0" applyFont="1" applyFill="1" applyBorder="1" applyAlignment="1">
      <alignment horizontal="center" wrapText="1"/>
    </xf>
    <xf numFmtId="0" fontId="19" fillId="5" borderId="1" xfId="0" applyFont="1" applyFill="1" applyBorder="1" applyAlignment="1">
      <alignment horizontal="center" wrapText="1"/>
    </xf>
    <xf numFmtId="0" fontId="19" fillId="2" borderId="1" xfId="0" applyFont="1" applyFill="1" applyBorder="1" applyAlignment="1">
      <alignment horizontal="center" vertical="top"/>
    </xf>
    <xf numFmtId="0" fontId="19" fillId="5" borderId="1" xfId="0" applyFont="1" applyFill="1" applyBorder="1" applyAlignment="1">
      <alignment horizontal="center" vertical="top" wrapText="1"/>
    </xf>
    <xf numFmtId="0" fontId="0" fillId="0" borderId="6" xfId="0" applyBorder="1" applyAlignment="1">
      <alignment horizontal="left" vertical="top"/>
    </xf>
    <xf numFmtId="0" fontId="9" fillId="2" borderId="1" xfId="0" applyFont="1" applyFill="1" applyBorder="1" applyAlignment="1">
      <alignment horizontal="center" vertical="top" wrapText="1"/>
    </xf>
    <xf numFmtId="0" fontId="19" fillId="2" borderId="7" xfId="0" applyFont="1" applyFill="1" applyBorder="1" applyAlignment="1">
      <alignment horizontal="center" vertical="top" wrapText="1"/>
    </xf>
    <xf numFmtId="0" fontId="10" fillId="0" borderId="16" xfId="0" applyFont="1" applyBorder="1" applyAlignment="1">
      <alignment horizontal="left" vertical="top"/>
    </xf>
    <xf numFmtId="1" fontId="10" fillId="0" borderId="17" xfId="0" applyNumberFormat="1" applyFont="1" applyBorder="1" applyAlignment="1">
      <alignment horizontal="center" vertical="top"/>
    </xf>
    <xf numFmtId="0" fontId="10" fillId="0" borderId="17" xfId="0" applyFont="1" applyBorder="1" applyAlignment="1">
      <alignment horizontal="left" vertical="top"/>
    </xf>
    <xf numFmtId="10" fontId="13" fillId="0" borderId="14" xfId="0" applyNumberFormat="1" applyFont="1" applyBorder="1" applyAlignment="1">
      <alignment horizontal="center" vertical="top"/>
    </xf>
    <xf numFmtId="0" fontId="9" fillId="0" borderId="7" xfId="0" applyFont="1" applyBorder="1" applyAlignment="1">
      <alignment vertical="top"/>
    </xf>
    <xf numFmtId="0" fontId="9" fillId="2" borderId="1" xfId="0" applyFont="1" applyFill="1" applyBorder="1" applyAlignment="1">
      <alignment horizontal="center" vertical="top"/>
    </xf>
    <xf numFmtId="0" fontId="19" fillId="5" borderId="7" xfId="0" applyFont="1" applyFill="1" applyBorder="1" applyAlignment="1">
      <alignment horizontal="center" vertical="top" wrapText="1"/>
    </xf>
    <xf numFmtId="0" fontId="0" fillId="0" borderId="1" xfId="0" applyBorder="1" applyAlignment="1">
      <alignment horizontal="center" vertical="top"/>
    </xf>
    <xf numFmtId="0" fontId="0" fillId="0" borderId="19" xfId="0" applyBorder="1" applyAlignment="1">
      <alignment horizontal="left" vertical="top"/>
    </xf>
    <xf numFmtId="9" fontId="13" fillId="0" borderId="14" xfId="0" applyNumberFormat="1" applyFont="1" applyBorder="1" applyAlignment="1">
      <alignment horizontal="center" vertical="center"/>
    </xf>
    <xf numFmtId="164" fontId="0" fillId="0" borderId="1" xfId="0" applyNumberFormat="1" applyBorder="1" applyAlignment="1">
      <alignment horizontal="center" vertical="top"/>
    </xf>
    <xf numFmtId="0" fontId="9" fillId="0" borderId="16" xfId="0" applyFont="1" applyBorder="1" applyAlignment="1">
      <alignment horizontal="left" vertical="top" wrapText="1"/>
    </xf>
    <xf numFmtId="0" fontId="0" fillId="0" borderId="6"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lignment horizontal="left" vertical="top"/>
    </xf>
    <xf numFmtId="10" fontId="13" fillId="0" borderId="20" xfId="0" applyNumberFormat="1"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9" fillId="0" borderId="16" xfId="0" applyFont="1" applyBorder="1" applyAlignment="1">
      <alignment horizontal="left" vertical="top"/>
    </xf>
    <xf numFmtId="0" fontId="9" fillId="0" borderId="6"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center" vertical="top"/>
    </xf>
    <xf numFmtId="0" fontId="11" fillId="0" borderId="10" xfId="0" applyFont="1" applyBorder="1" applyAlignment="1">
      <alignment horizontal="left" vertical="top" wrapText="1"/>
    </xf>
    <xf numFmtId="0" fontId="0" fillId="0" borderId="10" xfId="0" applyBorder="1" applyAlignment="1">
      <alignment horizontal="center" vertical="top"/>
    </xf>
    <xf numFmtId="165" fontId="10" fillId="0" borderId="17" xfId="0" applyNumberFormat="1" applyFont="1" applyBorder="1" applyAlignment="1">
      <alignment horizontal="left" vertical="top"/>
    </xf>
    <xf numFmtId="0" fontId="0" fillId="0" borderId="1" xfId="0" applyBorder="1" applyAlignment="1" applyProtection="1">
      <alignment horizontal="left" vertical="top"/>
      <protection locked="0"/>
    </xf>
    <xf numFmtId="0" fontId="21"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22"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1" fillId="4" borderId="28" xfId="0" applyFont="1" applyFill="1" applyBorder="1" applyAlignment="1">
      <alignment horizontal="center" wrapText="1"/>
    </xf>
    <xf numFmtId="0" fontId="0" fillId="4" borderId="1" xfId="0" applyFill="1" applyBorder="1" applyAlignment="1">
      <alignment horizontal="center" vertical="center"/>
    </xf>
    <xf numFmtId="0" fontId="1" fillId="4" borderId="2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0" fillId="0" borderId="18" xfId="0" applyBorder="1" applyAlignment="1">
      <alignment horizontal="center" wrapText="1"/>
    </xf>
    <xf numFmtId="0" fontId="0" fillId="4" borderId="1" xfId="0" applyFill="1" applyBorder="1" applyAlignment="1">
      <alignment horizontal="center" wrapText="1"/>
    </xf>
    <xf numFmtId="0" fontId="0" fillId="2" borderId="10"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7" fillId="0" borderId="10"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1" fillId="4" borderId="25" xfId="0" applyFont="1" applyFill="1" applyBorder="1" applyAlignment="1">
      <alignment horizontal="center" wrapText="1"/>
    </xf>
    <xf numFmtId="0" fontId="1" fillId="4" borderId="8" xfId="0" applyFont="1" applyFill="1" applyBorder="1" applyAlignment="1">
      <alignment horizontal="center" wrapText="1"/>
    </xf>
    <xf numFmtId="0" fontId="1" fillId="4" borderId="26" xfId="0" applyFont="1" applyFill="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10" xfId="0" applyFont="1" applyBorder="1" applyAlignment="1">
      <alignment horizontal="right" vertical="top"/>
    </xf>
    <xf numFmtId="0" fontId="9" fillId="0" borderId="6" xfId="0" applyFont="1" applyBorder="1" applyAlignment="1">
      <alignment horizontal="right" vertical="top"/>
    </xf>
    <xf numFmtId="0" fontId="9" fillId="0" borderId="7" xfId="0" applyFont="1" applyBorder="1" applyAlignment="1">
      <alignment horizontal="right" vertical="top"/>
    </xf>
    <xf numFmtId="0" fontId="0" fillId="0" borderId="23"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13" fillId="0" borderId="19" xfId="0" applyFont="1" applyBorder="1" applyAlignment="1">
      <alignment horizontal="right" vertical="top"/>
    </xf>
    <xf numFmtId="0" fontId="17" fillId="0" borderId="0" xfId="0" applyFont="1" applyAlignment="1">
      <alignment horizontal="right" vertical="top"/>
    </xf>
    <xf numFmtId="0" fontId="31" fillId="0" borderId="1" xfId="0" applyFont="1" applyBorder="1" applyAlignment="1" applyProtection="1">
      <alignment horizontal="center" vertical="top" wrapText="1"/>
      <protection locked="0"/>
    </xf>
    <xf numFmtId="0" fontId="30" fillId="0" borderId="23" xfId="0" applyFont="1" applyBorder="1" applyAlignment="1" applyProtection="1">
      <alignment horizontal="center" vertical="top" wrapText="1"/>
      <protection locked="0"/>
    </xf>
    <xf numFmtId="0" fontId="30" fillId="0" borderId="24" xfId="0" applyFont="1" applyBorder="1" applyAlignment="1" applyProtection="1">
      <alignment horizontal="center" vertical="top" wrapText="1"/>
      <protection locked="0"/>
    </xf>
    <xf numFmtId="0" fontId="30" fillId="0" borderId="15"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30" fillId="0" borderId="1" xfId="0" applyFont="1" applyBorder="1" applyAlignment="1" applyProtection="1">
      <alignment horizontal="center" vertical="top" wrapText="1"/>
      <protection locked="0"/>
    </xf>
    <xf numFmtId="0" fontId="30" fillId="0" borderId="21" xfId="0" applyFont="1" applyBorder="1" applyAlignment="1" applyProtection="1">
      <alignment horizontal="center" vertical="top" wrapText="1"/>
      <protection locked="0"/>
    </xf>
    <xf numFmtId="0" fontId="30" fillId="0" borderId="16" xfId="0" applyFont="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7BD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100965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4575" y="9401175"/>
          <a:ext cx="838200" cy="295275"/>
        </a:xfrm>
        <a:prstGeom prst="rect">
          <a:avLst/>
        </a:prstGeom>
        <a:noFill/>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38750" y="7486650"/>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4" name="Picture 3" descr="eu-flag.png"/>
        <xdr:cNvPicPr>
          <a:picLocks noChangeAspect="1"/>
        </xdr:cNvPicPr>
      </xdr:nvPicPr>
      <xdr:blipFill>
        <a:blip xmlns:r="http://schemas.openxmlformats.org/officeDocument/2006/relationships" r:embed="rId3" cstate="print"/>
        <a:srcRect t="22656" r="87190" b="16406"/>
        <a:stretch>
          <a:fillRect/>
        </a:stretch>
      </xdr:blipFill>
      <xdr:spPr>
        <a:xfrm>
          <a:off x="0" y="19049"/>
          <a:ext cx="1143000" cy="749193"/>
        </a:xfrm>
        <a:prstGeom prst="rect">
          <a:avLst/>
        </a:prstGeom>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5" name="Picture 4" descr="eu-flag.png"/>
        <xdr:cNvPicPr>
          <a:picLocks noChangeAspect="1"/>
        </xdr:cNvPicPr>
      </xdr:nvPicPr>
      <xdr:blipFill>
        <a:blip xmlns:r="http://schemas.openxmlformats.org/officeDocument/2006/relationships" r:embed="rId3" cstate="print"/>
        <a:srcRect t="22656" r="87190" b="16406"/>
        <a:stretch>
          <a:fillRect/>
        </a:stretch>
      </xdr:blipFill>
      <xdr:spPr>
        <a:xfrm>
          <a:off x="160020" y="19049"/>
          <a:ext cx="1165860" cy="743478"/>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1660" y="2636520"/>
          <a:ext cx="838200" cy="295275"/>
        </a:xfrm>
        <a:prstGeom prst="rect">
          <a:avLst/>
        </a:prstGeom>
        <a:noFill/>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1660" y="263652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46</xdr:row>
      <xdr:rowOff>0</xdr:rowOff>
    </xdr:from>
    <xdr:to>
      <xdr:col>10</xdr:col>
      <xdr:colOff>837334</xdr:colOff>
      <xdr:row>46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oneCellAnchor>
    <xdr:from>
      <xdr:col>7</xdr:col>
      <xdr:colOff>285750</xdr:colOff>
      <xdr:row>31</xdr:row>
      <xdr:rowOff>85725</xdr:rowOff>
    </xdr:from>
    <xdr:ext cx="184731" cy="264560"/>
    <xdr:sp macro="" textlink="">
      <xdr:nvSpPr>
        <xdr:cNvPr id="5" name="TextBox 4"/>
        <xdr:cNvSpPr txBox="1"/>
      </xdr:nvSpPr>
      <xdr:spPr>
        <a:xfrm>
          <a:off x="5057775" y="1153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lt-LT"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9</xdr:col>
      <xdr:colOff>0</xdr:colOff>
      <xdr:row>38</xdr:row>
      <xdr:rowOff>0</xdr:rowOff>
    </xdr:from>
    <xdr:to>
      <xdr:col>9</xdr:col>
      <xdr:colOff>0</xdr:colOff>
      <xdr:row>38</xdr:row>
      <xdr:rowOff>295275</xdr:rowOff>
    </xdr:to>
    <xdr:pic>
      <xdr:nvPicPr>
        <xdr:cNvPr id="4"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705725" y="11077575"/>
          <a:ext cx="0" cy="295275"/>
        </a:xfrm>
        <a:prstGeom prst="rect">
          <a:avLst/>
        </a:prstGeom>
        <a:noFill/>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S28"/>
  <sheetViews>
    <sheetView tabSelected="1" zoomScaleNormal="100" workbookViewId="0">
      <selection activeCell="E5" sqref="E5:K5"/>
    </sheetView>
  </sheetViews>
  <sheetFormatPr defaultRowHeight="1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140625" customWidth="1"/>
    <col min="12" max="12" width="3.42578125" hidden="1" customWidth="1"/>
  </cols>
  <sheetData>
    <row r="1" spans="2:19" ht="59.25" customHeight="1" thickBot="1">
      <c r="C1" s="110" t="s">
        <v>155</v>
      </c>
      <c r="D1" s="110"/>
      <c r="E1" s="110"/>
      <c r="F1" s="110"/>
      <c r="G1" s="110"/>
      <c r="H1" s="110"/>
      <c r="I1" s="110"/>
      <c r="J1" s="110"/>
      <c r="K1" s="110"/>
    </row>
    <row r="2" spans="2:19" s="24" customFormat="1" ht="21.75" customHeight="1" thickBot="1">
      <c r="B2" s="118" t="s">
        <v>189</v>
      </c>
      <c r="C2" s="119"/>
      <c r="D2" s="119"/>
      <c r="E2" s="119"/>
      <c r="F2" s="119"/>
      <c r="G2" s="119"/>
      <c r="H2" s="119"/>
      <c r="I2" s="119"/>
      <c r="J2" s="119"/>
      <c r="K2" s="119"/>
      <c r="L2" s="120"/>
      <c r="M2"/>
      <c r="N2"/>
      <c r="O2"/>
      <c r="P2"/>
      <c r="Q2"/>
      <c r="R2"/>
      <c r="S2"/>
    </row>
    <row r="3" spans="2:19" s="24" customFormat="1" ht="32.25" customHeight="1" thickTop="1">
      <c r="B3" s="106" t="s">
        <v>237</v>
      </c>
      <c r="C3" s="107"/>
      <c r="D3" s="107"/>
      <c r="E3" s="130" t="s">
        <v>243</v>
      </c>
      <c r="F3" s="130"/>
      <c r="G3" s="130"/>
      <c r="H3" s="130"/>
      <c r="I3" s="130"/>
      <c r="J3" s="130"/>
      <c r="K3" s="130"/>
      <c r="L3" s="104"/>
      <c r="M3"/>
      <c r="N3"/>
      <c r="O3"/>
      <c r="P3"/>
      <c r="Q3"/>
      <c r="R3"/>
      <c r="S3"/>
    </row>
    <row r="4" spans="2:19" s="24" customFormat="1" ht="32.25" customHeight="1">
      <c r="B4" s="106" t="s">
        <v>242</v>
      </c>
      <c r="C4" s="107"/>
      <c r="D4" s="107"/>
      <c r="E4" s="130" t="s">
        <v>244</v>
      </c>
      <c r="F4" s="131"/>
      <c r="G4" s="131"/>
      <c r="H4" s="131"/>
      <c r="I4" s="131"/>
      <c r="J4" s="131"/>
      <c r="K4" s="131"/>
      <c r="L4" s="104"/>
      <c r="M4"/>
      <c r="N4"/>
      <c r="O4"/>
      <c r="P4"/>
      <c r="Q4"/>
      <c r="R4"/>
      <c r="S4"/>
    </row>
    <row r="5" spans="2:19" s="24" customFormat="1" ht="32.25" customHeight="1">
      <c r="B5" s="106" t="s">
        <v>238</v>
      </c>
      <c r="C5" s="107"/>
      <c r="D5" s="107"/>
      <c r="E5" s="107" t="s">
        <v>239</v>
      </c>
      <c r="F5" s="107"/>
      <c r="G5" s="107"/>
      <c r="H5" s="107"/>
      <c r="I5" s="107"/>
      <c r="J5" s="107"/>
      <c r="K5" s="107"/>
      <c r="L5" s="104"/>
      <c r="M5"/>
      <c r="N5"/>
      <c r="O5"/>
      <c r="P5"/>
      <c r="Q5"/>
      <c r="R5"/>
      <c r="S5"/>
    </row>
    <row r="6" spans="2:19" s="24" customFormat="1" ht="32.25" customHeight="1">
      <c r="B6" s="106" t="s">
        <v>240</v>
      </c>
      <c r="C6" s="107"/>
      <c r="D6" s="107"/>
      <c r="E6" s="107" t="s">
        <v>241</v>
      </c>
      <c r="F6" s="107"/>
      <c r="G6" s="107"/>
      <c r="H6" s="107"/>
      <c r="I6" s="107"/>
      <c r="J6" s="107"/>
      <c r="K6" s="107"/>
      <c r="L6" s="104"/>
      <c r="M6"/>
      <c r="N6"/>
      <c r="O6"/>
      <c r="P6"/>
      <c r="Q6"/>
      <c r="R6"/>
      <c r="S6"/>
    </row>
    <row r="7" spans="2:19" s="24" customFormat="1" ht="32.25" customHeight="1" thickBot="1">
      <c r="B7" s="108" t="s">
        <v>153</v>
      </c>
      <c r="C7" s="109"/>
      <c r="D7" s="109"/>
      <c r="E7" s="111" t="s">
        <v>154</v>
      </c>
      <c r="F7" s="111"/>
      <c r="G7" s="111"/>
      <c r="H7" s="111"/>
      <c r="I7" s="111"/>
      <c r="J7" s="111"/>
      <c r="K7" s="105"/>
      <c r="L7" s="104"/>
      <c r="M7"/>
      <c r="N7"/>
      <c r="O7"/>
      <c r="P7"/>
      <c r="Q7"/>
      <c r="R7"/>
      <c r="S7"/>
    </row>
    <row r="8" spans="2:19" ht="48.75" customHeight="1" thickBot="1">
      <c r="B8" s="121" t="s">
        <v>151</v>
      </c>
      <c r="C8" s="122"/>
      <c r="D8" s="122"/>
      <c r="E8" s="122"/>
      <c r="F8" s="122"/>
      <c r="G8" s="122"/>
      <c r="H8" s="122"/>
      <c r="I8" s="122"/>
      <c r="J8" s="122"/>
      <c r="K8" s="123"/>
    </row>
    <row r="9" spans="2:19" ht="7.5" customHeight="1">
      <c r="B9" s="6"/>
      <c r="C9" s="6"/>
      <c r="D9" s="7"/>
      <c r="E9" s="7"/>
      <c r="F9" s="7"/>
      <c r="G9" s="7"/>
      <c r="H9" s="7"/>
      <c r="I9" s="7"/>
      <c r="J9" s="7"/>
      <c r="K9" s="5"/>
    </row>
    <row r="10" spans="2:19" ht="33" customHeight="1">
      <c r="B10" s="112" t="s">
        <v>0</v>
      </c>
      <c r="C10" s="113"/>
      <c r="D10" s="114"/>
      <c r="E10" s="124" t="s">
        <v>15</v>
      </c>
      <c r="F10" s="125"/>
      <c r="G10" s="125"/>
      <c r="H10" s="125"/>
      <c r="I10" s="125"/>
      <c r="J10" s="125"/>
      <c r="K10" s="126"/>
      <c r="L10" s="3"/>
    </row>
    <row r="11" spans="2:19" ht="7.5" customHeight="1">
      <c r="B11" s="23"/>
      <c r="C11" s="23"/>
      <c r="D11" s="23"/>
      <c r="E11" s="6"/>
      <c r="F11" s="5"/>
      <c r="G11" s="5"/>
      <c r="H11" s="5"/>
      <c r="I11" s="5"/>
      <c r="J11" s="5"/>
      <c r="K11" s="5"/>
    </row>
    <row r="12" spans="2:19" ht="153" customHeight="1">
      <c r="B12" s="112" t="s">
        <v>1</v>
      </c>
      <c r="C12" s="113"/>
      <c r="D12" s="114"/>
      <c r="E12" s="127" t="s">
        <v>152</v>
      </c>
      <c r="F12" s="128"/>
      <c r="G12" s="128"/>
      <c r="H12" s="128"/>
      <c r="I12" s="128"/>
      <c r="J12" s="128"/>
      <c r="K12" s="129"/>
    </row>
    <row r="13" spans="2:19" ht="7.5" customHeight="1">
      <c r="B13" s="25"/>
      <c r="C13" s="25"/>
      <c r="D13" s="25"/>
      <c r="E13" s="5"/>
      <c r="F13" s="5"/>
      <c r="G13" s="5"/>
      <c r="H13" s="5"/>
      <c r="I13" s="5"/>
      <c r="J13" s="5"/>
      <c r="K13" s="5"/>
    </row>
    <row r="14" spans="2:19" ht="74.25" customHeight="1">
      <c r="B14" s="112" t="s">
        <v>190</v>
      </c>
      <c r="C14" s="113"/>
      <c r="D14" s="114"/>
      <c r="E14" s="115" t="s">
        <v>141</v>
      </c>
      <c r="F14" s="116"/>
      <c r="G14" s="116"/>
      <c r="H14" s="116"/>
      <c r="I14" s="116"/>
      <c r="J14" s="116"/>
      <c r="K14" s="117"/>
    </row>
    <row r="15" spans="2:19" ht="22.5" customHeight="1" thickBot="1">
      <c r="J15" s="1"/>
    </row>
    <row r="16" spans="2:19" ht="16.5" thickTop="1" thickBot="1">
      <c r="B16" s="4" t="s">
        <v>2</v>
      </c>
      <c r="I16" s="2"/>
      <c r="J16" s="27">
        <f>SUM(J18:J21)</f>
        <v>0.73750000000000004</v>
      </c>
    </row>
    <row r="17" spans="2:15" s="8" customFormat="1" ht="11.25" customHeight="1" thickTop="1" thickBot="1">
      <c r="B17" s="30"/>
      <c r="C17" s="31"/>
      <c r="D17" s="31"/>
      <c r="O17" s="22"/>
    </row>
    <row r="18" spans="2:15" ht="16.5" thickTop="1" thickBot="1">
      <c r="B18" t="s">
        <v>41</v>
      </c>
      <c r="I18" s="2"/>
      <c r="J18" s="28">
        <f>'A - Didactical solutions'!F44</f>
        <v>0.21333333333333337</v>
      </c>
      <c r="K18" s="26" t="s">
        <v>96</v>
      </c>
      <c r="L18" s="9"/>
    </row>
    <row r="19" spans="2:15" ht="16.5" thickTop="1" thickBot="1">
      <c r="B19" t="s">
        <v>13</v>
      </c>
      <c r="I19" s="2"/>
      <c r="J19" s="29">
        <f>'B - Information technologies'!F31</f>
        <v>0.23800000000000002</v>
      </c>
      <c r="K19" s="26" t="s">
        <v>96</v>
      </c>
      <c r="L19" s="9"/>
    </row>
    <row r="20" spans="2:15" ht="16.5" thickTop="1" thickBot="1">
      <c r="B20" t="s">
        <v>14</v>
      </c>
      <c r="I20" s="2"/>
      <c r="J20" s="29">
        <f>'C - Structure and design'!F36</f>
        <v>0.14066666666666666</v>
      </c>
      <c r="K20" s="26" t="s">
        <v>97</v>
      </c>
      <c r="L20" s="9"/>
    </row>
    <row r="21" spans="2:15" ht="16.5" thickTop="1" thickBot="1">
      <c r="B21" t="s">
        <v>42</v>
      </c>
      <c r="I21" s="2"/>
      <c r="J21" s="29">
        <f>'D - Learning organization'!F24</f>
        <v>0.14549999999999999</v>
      </c>
      <c r="K21" s="26" t="s">
        <v>97</v>
      </c>
      <c r="L21" s="9"/>
    </row>
    <row r="22" spans="2:15" ht="15.75" thickTop="1"/>
    <row r="23" spans="2:15" ht="16.5" hidden="1" thickTop="1" thickBot="1">
      <c r="B23" s="4" t="s">
        <v>158</v>
      </c>
      <c r="J23" s="50">
        <f>SUM(J25:J28)</f>
        <v>0.3096666666666667</v>
      </c>
    </row>
    <row r="24" spans="2:15" ht="8.25" hidden="1" customHeight="1" thickTop="1" thickBot="1"/>
    <row r="25" spans="2:15" ht="16.5" hidden="1" thickTop="1" thickBot="1">
      <c r="B25" t="s">
        <v>41</v>
      </c>
      <c r="I25" s="2"/>
      <c r="J25" s="28">
        <f>'A - Didactical solutions'!G44</f>
        <v>0.12500000000000003</v>
      </c>
      <c r="K25" s="26" t="s">
        <v>96</v>
      </c>
    </row>
    <row r="26" spans="2:15" ht="16.5" hidden="1" thickTop="1" thickBot="1">
      <c r="B26" t="s">
        <v>13</v>
      </c>
      <c r="I26" s="2"/>
      <c r="J26" s="29">
        <f>'B - Information technologies'!G31</f>
        <v>0</v>
      </c>
      <c r="K26" s="26" t="s">
        <v>96</v>
      </c>
    </row>
    <row r="27" spans="2:15" ht="16.5" hidden="1" thickTop="1" thickBot="1">
      <c r="B27" t="s">
        <v>14</v>
      </c>
      <c r="I27" s="2"/>
      <c r="J27" s="29">
        <f>'C - Structure and design'!G36</f>
        <v>8.1333333333333341E-2</v>
      </c>
      <c r="K27" s="26" t="s">
        <v>97</v>
      </c>
    </row>
    <row r="28" spans="2:15" ht="16.5" hidden="1" thickTop="1" thickBot="1">
      <c r="B28" t="s">
        <v>42</v>
      </c>
      <c r="I28" s="2"/>
      <c r="J28" s="29">
        <f>'D - Learning organization'!G24</f>
        <v>0.10333333333333335</v>
      </c>
      <c r="K28" s="26" t="s">
        <v>97</v>
      </c>
    </row>
  </sheetData>
  <sheetProtection password="C7FA" sheet="1" objects="1" scenarios="1"/>
  <mergeCells count="19">
    <mergeCell ref="B14:D14"/>
    <mergeCell ref="E14:K14"/>
    <mergeCell ref="B2:L2"/>
    <mergeCell ref="B8:K8"/>
    <mergeCell ref="B10:D10"/>
    <mergeCell ref="E10:K10"/>
    <mergeCell ref="B12:D12"/>
    <mergeCell ref="E12:K12"/>
    <mergeCell ref="B3:D3"/>
    <mergeCell ref="E3:K3"/>
    <mergeCell ref="B4:D4"/>
    <mergeCell ref="E4:K4"/>
    <mergeCell ref="B5:D5"/>
    <mergeCell ref="E5:K5"/>
    <mergeCell ref="B6:D6"/>
    <mergeCell ref="E6:K6"/>
    <mergeCell ref="B7:D7"/>
    <mergeCell ref="C1:K1"/>
    <mergeCell ref="E7:J7"/>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47"/>
  <sheetViews>
    <sheetView zoomScaleNormal="100" workbookViewId="0">
      <selection activeCell="L1" sqref="L1:L1048576"/>
    </sheetView>
  </sheetViews>
  <sheetFormatPr defaultColWidth="34.5703125" defaultRowHeight="15"/>
  <cols>
    <col min="1" max="1" width="4.42578125" style="11" customWidth="1"/>
    <col min="2" max="2" width="37.42578125" style="10" customWidth="1"/>
    <col min="3" max="3" width="17" style="11" customWidth="1"/>
    <col min="4" max="4" width="15.85546875" style="11" hidden="1" customWidth="1"/>
    <col min="5" max="5" width="0.28515625" style="12" hidden="1" customWidth="1"/>
    <col min="6" max="6" width="7.85546875" style="11" customWidth="1"/>
    <col min="7" max="7" width="7.85546875" style="11" hidden="1" customWidth="1"/>
    <col min="8" max="8" width="2.5703125" style="11" customWidth="1"/>
    <col min="9" max="9" width="3.5703125" style="11" customWidth="1"/>
    <col min="10" max="10" width="38.85546875" style="11" customWidth="1"/>
    <col min="11" max="11" width="23.7109375" style="11" customWidth="1"/>
    <col min="12" max="12" width="32.140625" style="11" hidden="1" customWidth="1"/>
    <col min="13" max="13" width="3" style="11" customWidth="1"/>
    <col min="14" max="14" width="34.5703125" style="11" hidden="1" customWidth="1"/>
    <col min="15" max="16384" width="34.5703125" style="11"/>
  </cols>
  <sheetData>
    <row r="1" spans="1:14" s="19" customFormat="1">
      <c r="A1" s="32" t="s">
        <v>100</v>
      </c>
      <c r="B1" s="18"/>
      <c r="E1" s="20"/>
    </row>
    <row r="2" spans="1:14" ht="76.5" customHeight="1">
      <c r="A2" s="61" t="s">
        <v>75</v>
      </c>
      <c r="B2" s="62" t="s">
        <v>162</v>
      </c>
      <c r="C2" s="63" t="s">
        <v>118</v>
      </c>
      <c r="D2" s="64" t="s">
        <v>156</v>
      </c>
      <c r="E2" s="65" t="s">
        <v>9</v>
      </c>
      <c r="F2" s="65" t="s">
        <v>12</v>
      </c>
      <c r="G2" s="66" t="s">
        <v>157</v>
      </c>
      <c r="H2" s="67"/>
      <c r="I2" s="67"/>
      <c r="J2" s="68" t="s">
        <v>119</v>
      </c>
      <c r="K2" s="69" t="s">
        <v>171</v>
      </c>
      <c r="L2" s="66" t="s">
        <v>176</v>
      </c>
    </row>
    <row r="3" spans="1:14" ht="30">
      <c r="A3" s="60" t="s">
        <v>3</v>
      </c>
      <c r="B3" s="81" t="s">
        <v>36</v>
      </c>
      <c r="C3" s="67"/>
      <c r="D3" s="67"/>
      <c r="E3" s="82"/>
      <c r="F3" s="82"/>
      <c r="G3" s="82"/>
      <c r="I3" s="11" t="s">
        <v>3</v>
      </c>
      <c r="J3" s="142" t="s">
        <v>202</v>
      </c>
      <c r="K3" s="143"/>
      <c r="L3" s="143"/>
      <c r="N3" s="53" t="s">
        <v>121</v>
      </c>
    </row>
    <row r="4" spans="1:14" s="33" customFormat="1" ht="38.25" customHeight="1">
      <c r="A4" s="38">
        <v>1</v>
      </c>
      <c r="B4" s="39" t="s">
        <v>43</v>
      </c>
      <c r="C4" s="97" t="s">
        <v>124</v>
      </c>
      <c r="D4" s="97" t="s">
        <v>121</v>
      </c>
      <c r="E4" s="34">
        <f>1.5/100</f>
        <v>1.4999999999999999E-2</v>
      </c>
      <c r="F4" s="54">
        <f>IF(C4="0 - not considered at all",0*$E4,IF(C4="1 -  planned, not implemented",1*$E4/3,IF(C4="2 - partially implemented",2*$E4/3,$E4)))</f>
        <v>1.4999999999999999E-2</v>
      </c>
      <c r="G4" s="55">
        <f>IF(D4="0 - not considered at all",0*$E4,IF(D4="1 -  planned, not implemented",1*$E4/3,IF(D4="2 - partially implemented",2*$E4/3,$E4)))</f>
        <v>0</v>
      </c>
      <c r="J4" s="142"/>
      <c r="K4" s="144"/>
      <c r="L4" s="144"/>
      <c r="N4" s="53" t="s">
        <v>122</v>
      </c>
    </row>
    <row r="5" spans="1:14" s="33" customFormat="1" ht="28.5" customHeight="1">
      <c r="A5" s="38">
        <v>2</v>
      </c>
      <c r="B5" s="39" t="s">
        <v>45</v>
      </c>
      <c r="C5" s="97" t="s">
        <v>124</v>
      </c>
      <c r="D5" s="97" t="s">
        <v>122</v>
      </c>
      <c r="E5" s="34">
        <f>1.5/100</f>
        <v>1.4999999999999999E-2</v>
      </c>
      <c r="F5" s="54">
        <f t="shared" ref="F5:F6" si="0">IF(C5="0 - not considered at all",0*$E5,IF(C5="1 -  planned, not implemented",1*$E5/3,IF(C5="2 - partially implemented",2*$E5/3,$E5)))</f>
        <v>1.4999999999999999E-2</v>
      </c>
      <c r="G5" s="55">
        <f>IF(D5="0 - not considered at all",0*$E5,IF(D5="1 -  planned, not implemented",1*$E5/3,IF(D5="2 - partially implemented",2*$E5/3,$E5)))</f>
        <v>5.0000000000000001E-3</v>
      </c>
      <c r="J5" s="142"/>
      <c r="K5" s="144"/>
      <c r="L5" s="144"/>
      <c r="N5" s="53" t="s">
        <v>123</v>
      </c>
    </row>
    <row r="6" spans="1:14" s="33" customFormat="1" ht="38.25">
      <c r="A6" s="38">
        <v>3</v>
      </c>
      <c r="B6" s="40" t="s">
        <v>66</v>
      </c>
      <c r="C6" s="97" t="s">
        <v>124</v>
      </c>
      <c r="D6" s="97" t="s">
        <v>123</v>
      </c>
      <c r="E6" s="34">
        <f>2/100</f>
        <v>0.02</v>
      </c>
      <c r="F6" s="54">
        <f t="shared" si="0"/>
        <v>0.02</v>
      </c>
      <c r="G6" s="55">
        <f>IF(D6="0 - not considered at all",0*$E6,IF(D6="1 -  planned, not implemented",1*$E6/3,IF(D6="2 - partially implemented",2*$E6/3,$E6)))</f>
        <v>1.3333333333333334E-2</v>
      </c>
      <c r="J6" s="142"/>
      <c r="K6" s="145"/>
      <c r="L6" s="145"/>
      <c r="N6" s="53" t="s">
        <v>124</v>
      </c>
    </row>
    <row r="7" spans="1:14" ht="17.25" customHeight="1">
      <c r="A7" s="37" t="s">
        <v>8</v>
      </c>
      <c r="B7" s="14"/>
      <c r="C7" s="134" t="s">
        <v>164</v>
      </c>
      <c r="D7" s="135"/>
      <c r="E7" s="136"/>
      <c r="F7" s="21">
        <f>SUM(F4:F6)</f>
        <v>0.05</v>
      </c>
      <c r="G7" s="21">
        <f>SUM(G4:G6)</f>
        <v>1.8333333333333333E-2</v>
      </c>
      <c r="H7" s="72" t="s">
        <v>192</v>
      </c>
      <c r="I7" s="71"/>
      <c r="J7" s="83"/>
      <c r="K7" s="83"/>
      <c r="L7" s="84"/>
    </row>
    <row r="8" spans="1:14">
      <c r="A8" s="36" t="s">
        <v>4</v>
      </c>
      <c r="B8" s="87" t="s">
        <v>10</v>
      </c>
      <c r="C8" s="67"/>
      <c r="D8" s="85"/>
      <c r="E8" s="94"/>
      <c r="F8" s="82"/>
      <c r="G8" s="82"/>
      <c r="I8" s="11" t="s">
        <v>4</v>
      </c>
      <c r="J8" s="137" t="s">
        <v>203</v>
      </c>
      <c r="K8" s="137"/>
      <c r="L8" s="137"/>
    </row>
    <row r="9" spans="1:14" ht="38.25">
      <c r="A9" s="37">
        <v>1</v>
      </c>
      <c r="B9" s="39" t="s">
        <v>163</v>
      </c>
      <c r="C9" s="97" t="s">
        <v>123</v>
      </c>
      <c r="D9" s="97" t="s">
        <v>123</v>
      </c>
      <c r="E9" s="34">
        <f>2*0.5/100</f>
        <v>0.01</v>
      </c>
      <c r="F9" s="54">
        <f t="shared" ref="F9:F14" si="1">IF(C9="0 - not considered at all",0*$E9,IF(C9="1 -  planned, not implemented",1*$E9/3,IF(C9="2 - partially implemented",2*$E9/3,$E9)))</f>
        <v>6.6666666666666671E-3</v>
      </c>
      <c r="G9" s="55">
        <f t="shared" ref="G9:G14" si="2">IF(D9="0 - not considered at all",0*$E9,IF(D9="1 -  planned, not implemented",1*$E9/3,IF(D9="2 - partially implemented",2*$E9/3,$E9)))</f>
        <v>6.6666666666666671E-3</v>
      </c>
      <c r="J9" s="138"/>
      <c r="K9" s="138"/>
      <c r="L9" s="138"/>
    </row>
    <row r="10" spans="1:14" ht="25.5">
      <c r="A10" s="37">
        <v>2</v>
      </c>
      <c r="B10" s="39" t="s">
        <v>46</v>
      </c>
      <c r="C10" s="97" t="s">
        <v>124</v>
      </c>
      <c r="D10" s="97" t="s">
        <v>121</v>
      </c>
      <c r="E10" s="34">
        <f>0.5/100</f>
        <v>5.0000000000000001E-3</v>
      </c>
      <c r="F10" s="54">
        <f t="shared" si="1"/>
        <v>5.0000000000000001E-3</v>
      </c>
      <c r="G10" s="55">
        <f t="shared" si="2"/>
        <v>0</v>
      </c>
      <c r="J10" s="138"/>
      <c r="K10" s="138"/>
      <c r="L10" s="138"/>
    </row>
    <row r="11" spans="1:14" ht="25.5">
      <c r="A11" s="37">
        <v>3</v>
      </c>
      <c r="B11" s="40" t="s">
        <v>47</v>
      </c>
      <c r="C11" s="97" t="s">
        <v>124</v>
      </c>
      <c r="D11" s="97" t="s">
        <v>122</v>
      </c>
      <c r="E11" s="34">
        <f t="shared" ref="E11:E13" si="3">2*0.5/100</f>
        <v>0.01</v>
      </c>
      <c r="F11" s="54">
        <f t="shared" si="1"/>
        <v>0.01</v>
      </c>
      <c r="G11" s="55">
        <f t="shared" si="2"/>
        <v>3.3333333333333335E-3</v>
      </c>
      <c r="J11" s="138"/>
      <c r="K11" s="138"/>
      <c r="L11" s="138"/>
    </row>
    <row r="12" spans="1:14" ht="25.5">
      <c r="A12" s="37">
        <v>4</v>
      </c>
      <c r="B12" s="40" t="s">
        <v>48</v>
      </c>
      <c r="C12" s="97" t="s">
        <v>123</v>
      </c>
      <c r="D12" s="97" t="s">
        <v>123</v>
      </c>
      <c r="E12" s="34">
        <f t="shared" si="3"/>
        <v>0.01</v>
      </c>
      <c r="F12" s="54">
        <f t="shared" si="1"/>
        <v>6.6666666666666671E-3</v>
      </c>
      <c r="G12" s="55">
        <f t="shared" si="2"/>
        <v>6.6666666666666671E-3</v>
      </c>
      <c r="J12" s="138"/>
      <c r="K12" s="138"/>
      <c r="L12" s="138"/>
    </row>
    <row r="13" spans="1:14" ht="25.5">
      <c r="A13" s="37">
        <v>5</v>
      </c>
      <c r="B13" s="40" t="s">
        <v>50</v>
      </c>
      <c r="C13" s="97" t="s">
        <v>123</v>
      </c>
      <c r="D13" s="97" t="s">
        <v>124</v>
      </c>
      <c r="E13" s="34">
        <f t="shared" si="3"/>
        <v>0.01</v>
      </c>
      <c r="F13" s="54">
        <f t="shared" si="1"/>
        <v>6.6666666666666671E-3</v>
      </c>
      <c r="G13" s="55">
        <f t="shared" si="2"/>
        <v>0.01</v>
      </c>
      <c r="J13" s="138"/>
      <c r="K13" s="138"/>
      <c r="L13" s="138"/>
    </row>
    <row r="14" spans="1:14" ht="38.25">
      <c r="A14" s="37">
        <v>6</v>
      </c>
      <c r="B14" s="40" t="s">
        <v>49</v>
      </c>
      <c r="C14" s="97" t="s">
        <v>124</v>
      </c>
      <c r="D14" s="97" t="s">
        <v>124</v>
      </c>
      <c r="E14" s="34">
        <f>0.5/100</f>
        <v>5.0000000000000001E-3</v>
      </c>
      <c r="F14" s="54">
        <f t="shared" si="1"/>
        <v>5.0000000000000001E-3</v>
      </c>
      <c r="G14" s="55">
        <f t="shared" si="2"/>
        <v>5.0000000000000001E-3</v>
      </c>
      <c r="J14" s="139"/>
      <c r="K14" s="139"/>
      <c r="L14" s="139"/>
    </row>
    <row r="15" spans="1:14">
      <c r="A15" s="37" t="s">
        <v>8</v>
      </c>
      <c r="B15" s="14"/>
      <c r="C15" s="134" t="s">
        <v>165</v>
      </c>
      <c r="D15" s="135"/>
      <c r="E15" s="136"/>
      <c r="F15" s="21">
        <f>SUM(F9:F14)</f>
        <v>0.04</v>
      </c>
      <c r="G15" s="21">
        <f>SUM(G9:G14)</f>
        <v>3.1666666666666662E-2</v>
      </c>
      <c r="H15" s="72" t="s">
        <v>192</v>
      </c>
      <c r="I15" s="71"/>
      <c r="J15" s="83"/>
      <c r="K15" s="83"/>
      <c r="L15" s="83"/>
    </row>
    <row r="16" spans="1:14" ht="30" customHeight="1">
      <c r="A16" s="36" t="s">
        <v>5</v>
      </c>
      <c r="B16" s="87" t="s">
        <v>37</v>
      </c>
      <c r="C16" s="67"/>
      <c r="D16" s="67"/>
      <c r="E16" s="82"/>
      <c r="F16" s="82"/>
      <c r="G16" s="82"/>
      <c r="I16" s="11" t="s">
        <v>5</v>
      </c>
      <c r="J16" s="137" t="s">
        <v>204</v>
      </c>
      <c r="K16" s="137" t="s">
        <v>205</v>
      </c>
      <c r="L16" s="137"/>
    </row>
    <row r="17" spans="1:12" ht="30" customHeight="1">
      <c r="A17" s="37">
        <v>1</v>
      </c>
      <c r="B17" s="39" t="s">
        <v>53</v>
      </c>
      <c r="C17" s="97" t="s">
        <v>124</v>
      </c>
      <c r="D17" s="97" t="s">
        <v>124</v>
      </c>
      <c r="E17" s="34">
        <f>0.2*0.05</f>
        <v>1.0000000000000002E-2</v>
      </c>
      <c r="F17" s="54">
        <f t="shared" ref="F17:G24" si="4">IF(C17="0 - not considered at all",0*$E17,IF(C17="1 -  planned, not implemented",1*$E17/3,IF(C17="2 - partially implemented",2*$E17/3,$E17)))</f>
        <v>1.0000000000000002E-2</v>
      </c>
      <c r="G17" s="55">
        <f t="shared" si="4"/>
        <v>1.0000000000000002E-2</v>
      </c>
      <c r="J17" s="138"/>
      <c r="K17" s="138"/>
      <c r="L17" s="138"/>
    </row>
    <row r="18" spans="1:12" ht="38.25">
      <c r="A18" s="37">
        <v>2</v>
      </c>
      <c r="B18" s="39" t="s">
        <v>54</v>
      </c>
      <c r="C18" s="97" t="s">
        <v>124</v>
      </c>
      <c r="D18" s="97" t="s">
        <v>122</v>
      </c>
      <c r="E18" s="34">
        <f>0.1*0.05</f>
        <v>5.000000000000001E-3</v>
      </c>
      <c r="F18" s="54">
        <f t="shared" si="4"/>
        <v>5.000000000000001E-3</v>
      </c>
      <c r="G18" s="55">
        <f t="shared" si="4"/>
        <v>1.666666666666667E-3</v>
      </c>
      <c r="J18" s="138"/>
      <c r="K18" s="138"/>
      <c r="L18" s="138"/>
    </row>
    <row r="19" spans="1:12" ht="25.5">
      <c r="A19" s="37">
        <v>3</v>
      </c>
      <c r="B19" s="39" t="s">
        <v>55</v>
      </c>
      <c r="C19" s="97" t="s">
        <v>121</v>
      </c>
      <c r="D19" s="97" t="s">
        <v>121</v>
      </c>
      <c r="E19" s="34">
        <f t="shared" ref="E19:E24" si="5">0.1*0.05</f>
        <v>5.000000000000001E-3</v>
      </c>
      <c r="F19" s="54">
        <f t="shared" si="4"/>
        <v>0</v>
      </c>
      <c r="G19" s="55">
        <f t="shared" si="4"/>
        <v>0</v>
      </c>
      <c r="J19" s="138"/>
      <c r="K19" s="138"/>
      <c r="L19" s="138"/>
    </row>
    <row r="20" spans="1:12" ht="25.5">
      <c r="A20" s="37">
        <v>4</v>
      </c>
      <c r="B20" s="39" t="s">
        <v>56</v>
      </c>
      <c r="C20" s="97" t="s">
        <v>123</v>
      </c>
      <c r="D20" s="97" t="s">
        <v>121</v>
      </c>
      <c r="E20" s="34">
        <f t="shared" si="5"/>
        <v>5.000000000000001E-3</v>
      </c>
      <c r="F20" s="54">
        <f t="shared" si="4"/>
        <v>3.333333333333334E-3</v>
      </c>
      <c r="G20" s="55">
        <f t="shared" si="4"/>
        <v>0</v>
      </c>
      <c r="J20" s="138"/>
      <c r="K20" s="138"/>
      <c r="L20" s="138"/>
    </row>
    <row r="21" spans="1:12" ht="25.5">
      <c r="A21" s="37">
        <v>5</v>
      </c>
      <c r="B21" s="39" t="s">
        <v>57</v>
      </c>
      <c r="C21" s="97" t="s">
        <v>124</v>
      </c>
      <c r="D21" s="97" t="s">
        <v>124</v>
      </c>
      <c r="E21" s="34">
        <f t="shared" si="5"/>
        <v>5.000000000000001E-3</v>
      </c>
      <c r="F21" s="54">
        <f t="shared" si="4"/>
        <v>5.000000000000001E-3</v>
      </c>
      <c r="G21" s="55">
        <f t="shared" si="4"/>
        <v>5.000000000000001E-3</v>
      </c>
      <c r="J21" s="138"/>
      <c r="K21" s="138"/>
      <c r="L21" s="138"/>
    </row>
    <row r="22" spans="1:12" ht="25.5">
      <c r="A22" s="37">
        <v>6</v>
      </c>
      <c r="B22" s="39" t="s">
        <v>58</v>
      </c>
      <c r="C22" s="97" t="s">
        <v>124</v>
      </c>
      <c r="D22" s="97" t="s">
        <v>124</v>
      </c>
      <c r="E22" s="34">
        <f>0.2*0.05</f>
        <v>1.0000000000000002E-2</v>
      </c>
      <c r="F22" s="54">
        <f t="shared" si="4"/>
        <v>1.0000000000000002E-2</v>
      </c>
      <c r="G22" s="55">
        <f t="shared" si="4"/>
        <v>1.0000000000000002E-2</v>
      </c>
      <c r="J22" s="138"/>
      <c r="K22" s="138"/>
      <c r="L22" s="138"/>
    </row>
    <row r="23" spans="1:12" ht="38.25">
      <c r="A23" s="37">
        <v>7</v>
      </c>
      <c r="B23" s="39" t="s">
        <v>60</v>
      </c>
      <c r="C23" s="97" t="s">
        <v>121</v>
      </c>
      <c r="D23" s="97" t="s">
        <v>124</v>
      </c>
      <c r="E23" s="34">
        <f t="shared" si="5"/>
        <v>5.000000000000001E-3</v>
      </c>
      <c r="F23" s="54">
        <f t="shared" si="4"/>
        <v>0</v>
      </c>
      <c r="G23" s="55">
        <f t="shared" si="4"/>
        <v>5.000000000000001E-3</v>
      </c>
      <c r="J23" s="138"/>
      <c r="K23" s="138"/>
      <c r="L23" s="138"/>
    </row>
    <row r="24" spans="1:12" ht="29.25" customHeight="1">
      <c r="A24" s="37">
        <v>8</v>
      </c>
      <c r="B24" s="39" t="s">
        <v>59</v>
      </c>
      <c r="C24" s="97" t="s">
        <v>123</v>
      </c>
      <c r="D24" s="97" t="s">
        <v>123</v>
      </c>
      <c r="E24" s="34">
        <f t="shared" si="5"/>
        <v>5.000000000000001E-3</v>
      </c>
      <c r="F24" s="54">
        <f>IF(C24="0 - not considered at all",0*$E24,IF(C24="1 -  planned, not implemented",1*$E24/3,IF(C24="2 - partially implemented",2*$E24/3,$E24)))</f>
        <v>3.333333333333334E-3</v>
      </c>
      <c r="G24" s="55">
        <f t="shared" si="4"/>
        <v>3.333333333333334E-3</v>
      </c>
      <c r="J24" s="139"/>
      <c r="K24" s="139"/>
      <c r="L24" s="139"/>
    </row>
    <row r="25" spans="1:12">
      <c r="A25" s="37" t="s">
        <v>8</v>
      </c>
      <c r="B25" s="14"/>
      <c r="C25" s="134" t="s">
        <v>166</v>
      </c>
      <c r="D25" s="135"/>
      <c r="E25" s="136"/>
      <c r="F25" s="21">
        <f>SUM(F17:F24)</f>
        <v>3.6666666666666674E-2</v>
      </c>
      <c r="G25" s="21">
        <f>SUM(G17:G24)</f>
        <v>3.500000000000001E-2</v>
      </c>
      <c r="H25" s="72" t="s">
        <v>192</v>
      </c>
      <c r="I25" s="71"/>
      <c r="J25" s="83"/>
      <c r="K25" s="83"/>
      <c r="L25" s="83"/>
    </row>
    <row r="26" spans="1:12" ht="30" customHeight="1">
      <c r="A26" s="36" t="s">
        <v>6</v>
      </c>
      <c r="B26" s="87" t="s">
        <v>38</v>
      </c>
      <c r="C26" s="67"/>
      <c r="D26" s="67"/>
      <c r="E26" s="82"/>
      <c r="F26" s="82"/>
      <c r="G26" s="82"/>
      <c r="I26" s="11" t="s">
        <v>6</v>
      </c>
      <c r="J26" s="137" t="s">
        <v>206</v>
      </c>
      <c r="K26" s="137" t="s">
        <v>207</v>
      </c>
      <c r="L26" s="137"/>
    </row>
    <row r="27" spans="1:12" ht="25.5">
      <c r="A27" s="37">
        <v>1</v>
      </c>
      <c r="B27" s="39" t="s">
        <v>67</v>
      </c>
      <c r="C27" s="97" t="s">
        <v>123</v>
      </c>
      <c r="D27" s="97" t="s">
        <v>121</v>
      </c>
      <c r="E27" s="59">
        <f>0.4*0.05</f>
        <v>2.0000000000000004E-2</v>
      </c>
      <c r="F27" s="54">
        <f>IF(C27="0 - not considered at all",0*$E27,IF(C27="1 -  planned, not implemented",1*$E27/3,IF(C27="2 - partially implemented",2*$E27/3,$E27)))</f>
        <v>1.3333333333333336E-2</v>
      </c>
      <c r="G27" s="55">
        <f t="shared" ref="G27:G29" si="6">IF(D27="0 - not considered at all",0*$E27,IF(D27="1 -  planned, not implemented",1*$E27/3,IF(D27="2 - partially implemented",2*$E27/3,$E27)))</f>
        <v>0</v>
      </c>
      <c r="J27" s="138"/>
      <c r="K27" s="138"/>
      <c r="L27" s="138"/>
    </row>
    <row r="28" spans="1:12" ht="25.5">
      <c r="A28" s="37">
        <v>2</v>
      </c>
      <c r="B28" s="39" t="s">
        <v>44</v>
      </c>
      <c r="C28" s="97" t="s">
        <v>121</v>
      </c>
      <c r="D28" s="97" t="s">
        <v>121</v>
      </c>
      <c r="E28" s="59">
        <f>0.3*0.05</f>
        <v>1.4999999999999999E-2</v>
      </c>
      <c r="F28" s="54">
        <f t="shared" ref="F28:F29" si="7">IF(C28="0 - not considered at all",0*$E28,IF(C28="1 -  planned, not implemented",1*$E28/3,IF(C28="2 - partially implemented",2*$E28/3,$E28)))</f>
        <v>0</v>
      </c>
      <c r="G28" s="55">
        <f t="shared" si="6"/>
        <v>0</v>
      </c>
      <c r="J28" s="138"/>
      <c r="K28" s="138"/>
      <c r="L28" s="138"/>
    </row>
    <row r="29" spans="1:12" ht="38.25">
      <c r="A29" s="37">
        <v>3</v>
      </c>
      <c r="B29" s="40" t="s">
        <v>61</v>
      </c>
      <c r="C29" s="97" t="s">
        <v>124</v>
      </c>
      <c r="D29" s="97" t="s">
        <v>121</v>
      </c>
      <c r="E29" s="59">
        <f>0.3*0.05</f>
        <v>1.4999999999999999E-2</v>
      </c>
      <c r="F29" s="54">
        <f t="shared" si="7"/>
        <v>1.4999999999999999E-2</v>
      </c>
      <c r="G29" s="55">
        <f t="shared" si="6"/>
        <v>0</v>
      </c>
      <c r="J29" s="139"/>
      <c r="K29" s="139"/>
      <c r="L29" s="139"/>
    </row>
    <row r="30" spans="1:12">
      <c r="A30" s="37" t="s">
        <v>8</v>
      </c>
      <c r="B30" s="14"/>
      <c r="C30" s="134" t="s">
        <v>167</v>
      </c>
      <c r="D30" s="135"/>
      <c r="E30" s="136"/>
      <c r="F30" s="21">
        <f>SUM(F27:F29)</f>
        <v>2.8333333333333335E-2</v>
      </c>
      <c r="G30" s="21">
        <f>SUM(G27:G29)</f>
        <v>0</v>
      </c>
      <c r="H30" s="72" t="s">
        <v>192</v>
      </c>
      <c r="I30" s="71"/>
      <c r="J30" s="83"/>
      <c r="K30" s="83"/>
      <c r="L30" s="83"/>
    </row>
    <row r="31" spans="1:12" ht="32.25" customHeight="1">
      <c r="A31" s="36" t="s">
        <v>7</v>
      </c>
      <c r="B31" s="87" t="s">
        <v>39</v>
      </c>
      <c r="C31" s="67"/>
      <c r="D31" s="67"/>
      <c r="E31" s="82"/>
      <c r="F31" s="82"/>
      <c r="G31" s="82"/>
      <c r="I31" s="11" t="s">
        <v>7</v>
      </c>
      <c r="J31" s="137" t="s">
        <v>208</v>
      </c>
      <c r="K31" s="137" t="s">
        <v>209</v>
      </c>
      <c r="L31" s="137"/>
    </row>
    <row r="32" spans="1:12" ht="38.25">
      <c r="A32" s="37">
        <v>1</v>
      </c>
      <c r="B32" s="39" t="s">
        <v>62</v>
      </c>
      <c r="C32" s="97" t="s">
        <v>122</v>
      </c>
      <c r="D32" s="97" t="s">
        <v>124</v>
      </c>
      <c r="E32" s="34">
        <f>0.2*0.05</f>
        <v>1.0000000000000002E-2</v>
      </c>
      <c r="F32" s="54">
        <f t="shared" ref="F32:F36" si="8">IF(C32="0 - not considered at all",0*$E32,IF(C32="1 -  planned, not implemented",1*$E32/3,IF(C32="2 - partially implemented",2*$E32/3,$E32)))</f>
        <v>3.333333333333334E-3</v>
      </c>
      <c r="G32" s="55">
        <f t="shared" ref="G32:G36" si="9">IF(D32="0 - not considered at all",0*$E32,IF(D32="1 -  planned, not implemented",1*$E32/3,IF(D32="2 - partially implemented",2*$E32/3,$E32)))</f>
        <v>1.0000000000000002E-2</v>
      </c>
      <c r="J32" s="138"/>
      <c r="K32" s="138"/>
      <c r="L32" s="138"/>
    </row>
    <row r="33" spans="1:12" ht="30" customHeight="1">
      <c r="A33" s="37">
        <v>2</v>
      </c>
      <c r="B33" s="39" t="s">
        <v>98</v>
      </c>
      <c r="C33" s="97" t="s">
        <v>123</v>
      </c>
      <c r="D33" s="97" t="s">
        <v>124</v>
      </c>
      <c r="E33" s="34">
        <f>0.2*0.05</f>
        <v>1.0000000000000002E-2</v>
      </c>
      <c r="F33" s="54">
        <f t="shared" si="8"/>
        <v>6.666666666666668E-3</v>
      </c>
      <c r="G33" s="55">
        <f t="shared" si="9"/>
        <v>1.0000000000000002E-2</v>
      </c>
      <c r="J33" s="138"/>
      <c r="K33" s="138"/>
      <c r="L33" s="138"/>
    </row>
    <row r="34" spans="1:12" ht="27.75" customHeight="1">
      <c r="A34" s="37">
        <v>3</v>
      </c>
      <c r="B34" s="39" t="s">
        <v>99</v>
      </c>
      <c r="C34" s="97" t="s">
        <v>122</v>
      </c>
      <c r="D34" s="97" t="s">
        <v>124</v>
      </c>
      <c r="E34" s="34">
        <f>0.1*0.05</f>
        <v>5.000000000000001E-3</v>
      </c>
      <c r="F34" s="54">
        <f t="shared" si="8"/>
        <v>1.666666666666667E-3</v>
      </c>
      <c r="G34" s="55">
        <f t="shared" si="9"/>
        <v>5.000000000000001E-3</v>
      </c>
      <c r="J34" s="138"/>
      <c r="K34" s="138"/>
      <c r="L34" s="138"/>
    </row>
    <row r="35" spans="1:12" ht="27.75" customHeight="1">
      <c r="A35" s="37">
        <v>4</v>
      </c>
      <c r="B35" s="39" t="s">
        <v>51</v>
      </c>
      <c r="C35" s="97" t="s">
        <v>122</v>
      </c>
      <c r="D35" s="97" t="s">
        <v>122</v>
      </c>
      <c r="E35" s="34">
        <f>0.3*0.05</f>
        <v>1.4999999999999999E-2</v>
      </c>
      <c r="F35" s="54">
        <f t="shared" si="8"/>
        <v>5.0000000000000001E-3</v>
      </c>
      <c r="G35" s="55">
        <f t="shared" si="9"/>
        <v>5.0000000000000001E-3</v>
      </c>
      <c r="J35" s="138"/>
      <c r="K35" s="138"/>
      <c r="L35" s="138"/>
    </row>
    <row r="36" spans="1:12" ht="25.5">
      <c r="A36" s="37">
        <v>5</v>
      </c>
      <c r="B36" s="39" t="s">
        <v>52</v>
      </c>
      <c r="C36" s="97" t="s">
        <v>123</v>
      </c>
      <c r="D36" s="97" t="s">
        <v>121</v>
      </c>
      <c r="E36" s="34">
        <f>0.2*0.05</f>
        <v>1.0000000000000002E-2</v>
      </c>
      <c r="F36" s="54">
        <f t="shared" si="8"/>
        <v>6.666666666666668E-3</v>
      </c>
      <c r="G36" s="55">
        <f t="shared" si="9"/>
        <v>0</v>
      </c>
      <c r="J36" s="139"/>
      <c r="K36" s="139"/>
      <c r="L36" s="139"/>
    </row>
    <row r="37" spans="1:12" ht="13.5" customHeight="1">
      <c r="A37" s="37" t="s">
        <v>8</v>
      </c>
      <c r="B37" s="14"/>
      <c r="C37" s="134" t="s">
        <v>168</v>
      </c>
      <c r="D37" s="135"/>
      <c r="E37" s="136"/>
      <c r="F37" s="21">
        <f>SUM(F32:F36)</f>
        <v>2.3333333333333338E-2</v>
      </c>
      <c r="G37" s="21">
        <f>SUM(G32:G36)</f>
        <v>3.0000000000000006E-2</v>
      </c>
      <c r="H37" s="72" t="s">
        <v>192</v>
      </c>
      <c r="I37" s="71"/>
      <c r="J37" s="83"/>
      <c r="K37" s="83"/>
      <c r="L37" s="83"/>
    </row>
    <row r="38" spans="1:12" ht="26.25" customHeight="1">
      <c r="A38" s="36" t="s">
        <v>40</v>
      </c>
      <c r="B38" s="93" t="s">
        <v>11</v>
      </c>
      <c r="C38" s="67"/>
      <c r="D38" s="67"/>
      <c r="E38" s="82"/>
      <c r="F38" s="82"/>
      <c r="G38" s="82"/>
      <c r="I38" s="11" t="s">
        <v>40</v>
      </c>
      <c r="J38" s="137" t="s">
        <v>210</v>
      </c>
      <c r="K38" s="137"/>
      <c r="L38" s="137"/>
    </row>
    <row r="39" spans="1:12" ht="38.25">
      <c r="A39" s="37">
        <v>1</v>
      </c>
      <c r="B39" s="39" t="s">
        <v>63</v>
      </c>
      <c r="C39" s="97" t="s">
        <v>124</v>
      </c>
      <c r="D39" s="97" t="s">
        <v>121</v>
      </c>
      <c r="E39" s="34">
        <f>0.3*0.05</f>
        <v>1.4999999999999999E-2</v>
      </c>
      <c r="F39" s="54">
        <f t="shared" ref="F39:F42" si="10">IF(C39="0 - not considered at all",0*$E39,IF(C39="1 -  planned, not implemented",1*$E39/3,IF(C39="2 - partially implemented",2*$E39/3,$E39)))</f>
        <v>1.4999999999999999E-2</v>
      </c>
      <c r="G39" s="55">
        <f t="shared" ref="G39:G42" si="11">IF(D39="0 - not considered at all",0*$E39,IF(D39="1 -  planned, not implemented",1*$E39/3,IF(D39="2 - partially implemented",2*$E39/3,$E39)))</f>
        <v>0</v>
      </c>
      <c r="J39" s="138"/>
      <c r="K39" s="138"/>
      <c r="L39" s="138"/>
    </row>
    <row r="40" spans="1:12" ht="38.25">
      <c r="A40" s="37">
        <v>2</v>
      </c>
      <c r="B40" s="39" t="s">
        <v>64</v>
      </c>
      <c r="C40" s="97" t="s">
        <v>124</v>
      </c>
      <c r="D40" s="97" t="s">
        <v>121</v>
      </c>
      <c r="E40" s="34">
        <f t="shared" ref="E40:E41" si="12">0.2*0.05</f>
        <v>1.0000000000000002E-2</v>
      </c>
      <c r="F40" s="54">
        <f t="shared" si="10"/>
        <v>1.0000000000000002E-2</v>
      </c>
      <c r="G40" s="55">
        <f t="shared" si="11"/>
        <v>0</v>
      </c>
      <c r="J40" s="138"/>
      <c r="K40" s="138"/>
      <c r="L40" s="138"/>
    </row>
    <row r="41" spans="1:12" ht="44.25" customHeight="1">
      <c r="A41" s="37">
        <v>3</v>
      </c>
      <c r="B41" s="39" t="s">
        <v>68</v>
      </c>
      <c r="C41" s="97" t="s">
        <v>121</v>
      </c>
      <c r="D41" s="97" t="s">
        <v>121</v>
      </c>
      <c r="E41" s="34">
        <f t="shared" si="12"/>
        <v>1.0000000000000002E-2</v>
      </c>
      <c r="F41" s="54">
        <f t="shared" si="10"/>
        <v>0</v>
      </c>
      <c r="G41" s="55">
        <f t="shared" si="11"/>
        <v>0</v>
      </c>
      <c r="J41" s="138"/>
      <c r="K41" s="138"/>
      <c r="L41" s="138"/>
    </row>
    <row r="42" spans="1:12" ht="63.75">
      <c r="A42" s="37">
        <v>4</v>
      </c>
      <c r="B42" s="39" t="s">
        <v>65</v>
      </c>
      <c r="C42" s="97" t="s">
        <v>123</v>
      </c>
      <c r="D42" s="97" t="s">
        <v>123</v>
      </c>
      <c r="E42" s="34">
        <f>0.3*0.05</f>
        <v>1.4999999999999999E-2</v>
      </c>
      <c r="F42" s="54">
        <f t="shared" si="10"/>
        <v>0.01</v>
      </c>
      <c r="G42" s="55">
        <f t="shared" si="11"/>
        <v>0.01</v>
      </c>
      <c r="J42" s="139"/>
      <c r="K42" s="139"/>
      <c r="L42" s="139"/>
    </row>
    <row r="43" spans="1:12" ht="15.75" thickBot="1">
      <c r="A43" s="37" t="s">
        <v>8</v>
      </c>
      <c r="B43" s="14"/>
      <c r="C43" s="134" t="s">
        <v>169</v>
      </c>
      <c r="D43" s="135"/>
      <c r="E43" s="136"/>
      <c r="F43" s="21">
        <f>SUM(F39:F42)</f>
        <v>3.5000000000000003E-2</v>
      </c>
      <c r="G43" s="21">
        <f>SUM(G39:G42)</f>
        <v>0.01</v>
      </c>
      <c r="H43" s="72" t="s">
        <v>192</v>
      </c>
      <c r="I43" s="72"/>
    </row>
    <row r="44" spans="1:12" ht="15.75" thickBot="1">
      <c r="C44" s="140" t="s">
        <v>170</v>
      </c>
      <c r="D44" s="140"/>
      <c r="F44" s="73">
        <f>SUM(F7,F15,F25,F30,F37,F43)</f>
        <v>0.21333333333333337</v>
      </c>
      <c r="G44" s="86">
        <f>SUM(G7,G15,G25,G30,G37,G43)</f>
        <v>0.12500000000000003</v>
      </c>
      <c r="H44" s="35"/>
    </row>
    <row r="45" spans="1:12">
      <c r="C45" s="141" t="s">
        <v>181</v>
      </c>
      <c r="D45" s="141"/>
      <c r="E45" s="44"/>
      <c r="F45" s="52">
        <v>30</v>
      </c>
      <c r="G45" s="45"/>
      <c r="H45" s="17"/>
    </row>
    <row r="47" spans="1:12" customFormat="1" ht="32.25" customHeight="1">
      <c r="A47" s="132" t="s">
        <v>153</v>
      </c>
      <c r="B47" s="132"/>
      <c r="C47" s="47"/>
      <c r="D47" s="133" t="s">
        <v>154</v>
      </c>
      <c r="E47" s="133"/>
      <c r="F47" s="133"/>
      <c r="G47" s="133"/>
      <c r="H47" s="133"/>
      <c r="I47" s="133"/>
      <c r="J47" s="133"/>
      <c r="K47" s="48"/>
      <c r="L47" s="47"/>
    </row>
  </sheetData>
  <sheetProtection password="C7FA" sheet="1" objects="1" scenarios="1" formatRows="0"/>
  <mergeCells count="28">
    <mergeCell ref="L26:L29"/>
    <mergeCell ref="L31:L36"/>
    <mergeCell ref="L38:L42"/>
    <mergeCell ref="J3:J6"/>
    <mergeCell ref="K3:K6"/>
    <mergeCell ref="K8:K14"/>
    <mergeCell ref="K16:K24"/>
    <mergeCell ref="L3:L6"/>
    <mergeCell ref="L8:L14"/>
    <mergeCell ref="L16:L24"/>
    <mergeCell ref="K26:K29"/>
    <mergeCell ref="K31:K36"/>
    <mergeCell ref="K38:K42"/>
    <mergeCell ref="A47:B47"/>
    <mergeCell ref="D47:J47"/>
    <mergeCell ref="C43:E43"/>
    <mergeCell ref="C7:E7"/>
    <mergeCell ref="C15:E15"/>
    <mergeCell ref="C25:E25"/>
    <mergeCell ref="C30:E30"/>
    <mergeCell ref="C37:E37"/>
    <mergeCell ref="J8:J14"/>
    <mergeCell ref="J16:J24"/>
    <mergeCell ref="J26:J29"/>
    <mergeCell ref="J31:J36"/>
    <mergeCell ref="J38:J42"/>
    <mergeCell ref="C44:D44"/>
    <mergeCell ref="C45:D45"/>
  </mergeCells>
  <dataValidations disablePrompts="1" count="1">
    <dataValidation type="list" allowBlank="1" showInputMessage="1" showErrorMessage="1" sqref="C39:D42 C4:D6 C9:D14 C17:D24 C27:D29 C32:D36">
      <formula1>$N$3:$N$6</formula1>
    </dataValidation>
  </dataValidations>
  <pageMargins left="0.51181102362204722" right="0.31496062992125984" top="0.74803149606299213" bottom="0.74803149606299213" header="0.31496062992125984" footer="0.31496062992125984"/>
  <pageSetup paperSize="9" scale="95" orientation="landscape" r:id="rId1"/>
  <headerFooter>
    <oddHeader>&amp;C Theory of Law case page &amp;P</oddHeader>
    <oddFooter>&amp;LCopy right issues&amp;CThis product is released under Creative Common licence  
CC BY-NC-ND 3.0&amp;R&amp;G</oddFooter>
  </headerFooter>
  <rowBreaks count="2" manualBreakCount="2">
    <brk id="15" max="16383" man="1"/>
    <brk id="30" max="16383"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zoomScaleNormal="100" workbookViewId="0">
      <selection activeCell="K30" sqref="K30"/>
    </sheetView>
  </sheetViews>
  <sheetFormatPr defaultColWidth="34.5703125" defaultRowHeight="15"/>
  <cols>
    <col min="1" max="1" width="4.42578125" style="11" customWidth="1"/>
    <col min="2" max="2" width="35.7109375" style="10" customWidth="1"/>
    <col min="3" max="3" width="16.85546875" style="11" customWidth="1"/>
    <col min="4" max="4" width="17.7109375" style="12" hidden="1" customWidth="1"/>
    <col min="5" max="5" width="7.140625" style="12" hidden="1" customWidth="1"/>
    <col min="6" max="6" width="7.85546875" style="12" customWidth="1"/>
    <col min="7" max="7" width="8.5703125" style="12" hidden="1" customWidth="1"/>
    <col min="8" max="8" width="3.140625" style="11" customWidth="1"/>
    <col min="9" max="9" width="3.5703125" style="11" customWidth="1"/>
    <col min="10" max="10" width="36.7109375" style="11" customWidth="1"/>
    <col min="11" max="11" width="24.140625" style="11" customWidth="1"/>
    <col min="12" max="12" width="0.42578125" style="11" customWidth="1"/>
    <col min="13" max="13" width="35.42578125" style="11" hidden="1" customWidth="1"/>
    <col min="14" max="14" width="3" style="11" bestFit="1" customWidth="1"/>
    <col min="15" max="16384" width="34.5703125" style="11"/>
  </cols>
  <sheetData>
    <row r="1" spans="1:13" s="19" customFormat="1">
      <c r="A1" s="32" t="s">
        <v>101</v>
      </c>
      <c r="B1" s="18"/>
      <c r="D1" s="20"/>
      <c r="E1" s="20"/>
      <c r="F1" s="20"/>
      <c r="G1" s="20"/>
    </row>
    <row r="2" spans="1:13" ht="79.5" customHeight="1">
      <c r="A2" s="61" t="s">
        <v>75</v>
      </c>
      <c r="B2" s="62" t="s">
        <v>162</v>
      </c>
      <c r="C2" s="63" t="s">
        <v>118</v>
      </c>
      <c r="D2" s="64" t="s">
        <v>156</v>
      </c>
      <c r="E2" s="75" t="s">
        <v>9</v>
      </c>
      <c r="F2" s="75" t="s">
        <v>12</v>
      </c>
      <c r="G2" s="66" t="s">
        <v>157</v>
      </c>
      <c r="H2" s="67"/>
      <c r="I2" s="67"/>
      <c r="J2" s="68" t="s">
        <v>130</v>
      </c>
      <c r="K2" s="69" t="s">
        <v>120</v>
      </c>
      <c r="L2" s="67"/>
      <c r="M2" s="76" t="s">
        <v>176</v>
      </c>
    </row>
    <row r="3" spans="1:13">
      <c r="A3" s="60" t="s">
        <v>16</v>
      </c>
      <c r="B3" s="81" t="s">
        <v>76</v>
      </c>
      <c r="C3" s="67"/>
      <c r="D3" s="82"/>
      <c r="E3" s="82"/>
      <c r="F3" s="82"/>
      <c r="G3" s="82"/>
      <c r="I3" s="11" t="s">
        <v>16</v>
      </c>
      <c r="J3" s="137" t="s">
        <v>211</v>
      </c>
      <c r="K3" s="137"/>
      <c r="L3" s="96"/>
      <c r="M3" s="137"/>
    </row>
    <row r="4" spans="1:13" ht="27.75" customHeight="1">
      <c r="A4" s="37">
        <v>1</v>
      </c>
      <c r="B4" s="39" t="s">
        <v>102</v>
      </c>
      <c r="C4" s="97" t="s">
        <v>124</v>
      </c>
      <c r="D4" s="97" t="s">
        <v>121</v>
      </c>
      <c r="E4" s="34">
        <f>0.3*0.045</f>
        <v>1.35E-2</v>
      </c>
      <c r="F4" s="54">
        <f>IF(C4="0 - not considered at all",0*$E4,IF(C4="1 -  planned, not implemented",1*$E4/3,IF(C4="2 - partially implemented",2*$E4/3,$E4)))</f>
        <v>1.35E-2</v>
      </c>
      <c r="G4" s="55">
        <f>IF(D4="0 - not considered at all",0*$E4,IF(D4="1 -  planned, not implemented",1*$E4/3,IF(D4="2 - partially implemented",2*$E4/3,$E4)))</f>
        <v>0</v>
      </c>
      <c r="J4" s="138"/>
      <c r="K4" s="138"/>
      <c r="L4" s="98" t="s">
        <v>121</v>
      </c>
      <c r="M4" s="138"/>
    </row>
    <row r="5" spans="1:13" ht="25.5" customHeight="1">
      <c r="A5" s="37">
        <v>2</v>
      </c>
      <c r="B5" s="39" t="s">
        <v>103</v>
      </c>
      <c r="C5" s="97" t="s">
        <v>124</v>
      </c>
      <c r="D5" s="97" t="s">
        <v>121</v>
      </c>
      <c r="E5" s="34">
        <f>0.5*0.045</f>
        <v>2.2499999999999999E-2</v>
      </c>
      <c r="F5" s="54">
        <f t="shared" ref="F5:F6" si="0">IF(C5="0 - not considered at all",0*$E5,IF(C5="1 -  planned, not implemented",1*$E5/3,IF(C5="2 - partially implemented",2*$E5/3,$E5)))</f>
        <v>2.2499999999999999E-2</v>
      </c>
      <c r="G5" s="55">
        <f t="shared" ref="G5:G6" si="1">IF(D5="0 - not considered at all",0*$E5,IF(D5="1 -  planned, not implemented",1*$E5/3,IF(D5="2 - partially implemented",2*$E5/3,$E5)))</f>
        <v>0</v>
      </c>
      <c r="J5" s="138"/>
      <c r="K5" s="138"/>
      <c r="L5" s="98" t="s">
        <v>122</v>
      </c>
      <c r="M5" s="138"/>
    </row>
    <row r="6" spans="1:13" ht="26.25" customHeight="1">
      <c r="A6" s="37">
        <v>3</v>
      </c>
      <c r="B6" s="40" t="s">
        <v>104</v>
      </c>
      <c r="C6" s="97" t="s">
        <v>124</v>
      </c>
      <c r="D6" s="97" t="s">
        <v>121</v>
      </c>
      <c r="E6" s="34">
        <f>0.2*0.045</f>
        <v>8.9999999999999993E-3</v>
      </c>
      <c r="F6" s="54">
        <f t="shared" si="0"/>
        <v>8.9999999999999993E-3</v>
      </c>
      <c r="G6" s="55">
        <f t="shared" si="1"/>
        <v>0</v>
      </c>
      <c r="J6" s="139"/>
      <c r="K6" s="139"/>
      <c r="L6" s="98" t="s">
        <v>123</v>
      </c>
      <c r="M6" s="139"/>
    </row>
    <row r="7" spans="1:13" ht="17.25" customHeight="1">
      <c r="A7" s="37" t="s">
        <v>8</v>
      </c>
      <c r="B7" s="14"/>
      <c r="C7" s="134" t="s">
        <v>172</v>
      </c>
      <c r="D7" s="135"/>
      <c r="E7" s="74"/>
      <c r="F7" s="21">
        <f>SUM(F4:F6)</f>
        <v>4.4999999999999998E-2</v>
      </c>
      <c r="G7" s="21">
        <f>SUM(G4:G6)</f>
        <v>0</v>
      </c>
      <c r="H7" s="70" t="s">
        <v>193</v>
      </c>
      <c r="I7" s="95"/>
      <c r="J7" s="83"/>
      <c r="K7" s="83"/>
      <c r="L7" s="99" t="s">
        <v>124</v>
      </c>
      <c r="M7" s="83"/>
    </row>
    <row r="8" spans="1:13">
      <c r="A8" s="36" t="s">
        <v>20</v>
      </c>
      <c r="B8" s="87" t="s">
        <v>17</v>
      </c>
      <c r="C8" s="67"/>
      <c r="D8" s="82"/>
      <c r="E8" s="82"/>
      <c r="F8" s="82"/>
      <c r="G8" s="49"/>
      <c r="I8" s="11" t="s">
        <v>20</v>
      </c>
      <c r="J8" s="137" t="s">
        <v>212</v>
      </c>
      <c r="K8" s="137"/>
      <c r="L8" s="96"/>
      <c r="M8" s="137"/>
    </row>
    <row r="9" spans="1:13" ht="51">
      <c r="A9" s="37">
        <v>1</v>
      </c>
      <c r="B9" s="39" t="s">
        <v>105</v>
      </c>
      <c r="C9" s="97" t="s">
        <v>124</v>
      </c>
      <c r="D9" s="97" t="s">
        <v>121</v>
      </c>
      <c r="E9" s="34">
        <f>0.3*0.075</f>
        <v>2.2499999999999999E-2</v>
      </c>
      <c r="F9" s="54">
        <f t="shared" ref="F9:F12" si="2">IF(C9="0 - not considered at all",0*$E9,IF(C9="1 -  planned, not implemented",1*$E9/3,IF(C9="2 - partially implemented",2*$E9/3,$E9)))</f>
        <v>2.2499999999999999E-2</v>
      </c>
      <c r="G9" s="55">
        <f t="shared" ref="G9:G12" si="3">IF(D9="0 - not considered at all",0*$E9,IF(D9="1 -  planned, not implemented",1*$E9/3,IF(D9="2 - partially implemented",2*$E9/3,$E9)))</f>
        <v>0</v>
      </c>
      <c r="J9" s="138"/>
      <c r="K9" s="138"/>
      <c r="L9" s="96"/>
      <c r="M9" s="138"/>
    </row>
    <row r="10" spans="1:13" ht="38.25">
      <c r="A10" s="37">
        <v>2</v>
      </c>
      <c r="B10" s="39" t="s">
        <v>106</v>
      </c>
      <c r="C10" s="97" t="s">
        <v>124</v>
      </c>
      <c r="D10" s="97" t="s">
        <v>121</v>
      </c>
      <c r="E10" s="34">
        <f>0.4*0.075</f>
        <v>0.03</v>
      </c>
      <c r="F10" s="54">
        <f t="shared" si="2"/>
        <v>0.03</v>
      </c>
      <c r="G10" s="55">
        <f t="shared" si="3"/>
        <v>0</v>
      </c>
      <c r="J10" s="138"/>
      <c r="K10" s="138"/>
      <c r="L10" s="96"/>
      <c r="M10" s="138"/>
    </row>
    <row r="11" spans="1:13" ht="39" customHeight="1">
      <c r="A11" s="37">
        <v>3</v>
      </c>
      <c r="B11" s="40" t="s">
        <v>107</v>
      </c>
      <c r="C11" s="97" t="s">
        <v>124</v>
      </c>
      <c r="D11" s="97" t="s">
        <v>121</v>
      </c>
      <c r="E11" s="34">
        <f>0.2*0.075</f>
        <v>1.4999999999999999E-2</v>
      </c>
      <c r="F11" s="54">
        <f t="shared" si="2"/>
        <v>1.4999999999999999E-2</v>
      </c>
      <c r="G11" s="55">
        <f t="shared" si="3"/>
        <v>0</v>
      </c>
      <c r="J11" s="138"/>
      <c r="K11" s="138"/>
      <c r="L11" s="96"/>
      <c r="M11" s="138"/>
    </row>
    <row r="12" spans="1:13" ht="25.5">
      <c r="A12" s="37">
        <v>4</v>
      </c>
      <c r="B12" s="40" t="s">
        <v>127</v>
      </c>
      <c r="C12" s="97" t="s">
        <v>124</v>
      </c>
      <c r="D12" s="97" t="s">
        <v>121</v>
      </c>
      <c r="E12" s="34">
        <f>0.1*0.075</f>
        <v>7.4999999999999997E-3</v>
      </c>
      <c r="F12" s="54">
        <f t="shared" si="2"/>
        <v>7.4999999999999997E-3</v>
      </c>
      <c r="G12" s="55">
        <f t="shared" si="3"/>
        <v>0</v>
      </c>
      <c r="J12" s="139"/>
      <c r="K12" s="139"/>
      <c r="L12" s="96"/>
      <c r="M12" s="139"/>
    </row>
    <row r="13" spans="1:13">
      <c r="A13" s="37" t="s">
        <v>8</v>
      </c>
      <c r="B13" s="14"/>
      <c r="C13" s="134" t="s">
        <v>173</v>
      </c>
      <c r="D13" s="135"/>
      <c r="E13" s="74"/>
      <c r="F13" s="21">
        <f>SUM(F9:F12)</f>
        <v>7.5000000000000011E-2</v>
      </c>
      <c r="G13" s="21">
        <f>SUM(G9:G12)</f>
        <v>0</v>
      </c>
      <c r="H13" s="70" t="s">
        <v>194</v>
      </c>
      <c r="I13" s="95"/>
      <c r="J13" s="83"/>
      <c r="K13" s="83"/>
      <c r="L13" s="83"/>
      <c r="M13" s="83"/>
    </row>
    <row r="14" spans="1:13" ht="30">
      <c r="A14" s="36" t="s">
        <v>21</v>
      </c>
      <c r="B14" s="87" t="s">
        <v>108</v>
      </c>
      <c r="C14" s="67"/>
      <c r="D14" s="82"/>
      <c r="E14" s="82"/>
      <c r="F14" s="82"/>
      <c r="G14" s="49"/>
      <c r="I14" s="11" t="s">
        <v>21</v>
      </c>
      <c r="J14" s="137" t="s">
        <v>213</v>
      </c>
      <c r="K14" s="137" t="s">
        <v>227</v>
      </c>
      <c r="L14" s="96"/>
      <c r="M14" s="137"/>
    </row>
    <row r="15" spans="1:13" ht="42" customHeight="1">
      <c r="A15" s="37">
        <v>1</v>
      </c>
      <c r="B15" s="39" t="s">
        <v>109</v>
      </c>
      <c r="C15" s="97" t="s">
        <v>121</v>
      </c>
      <c r="D15" s="97" t="s">
        <v>121</v>
      </c>
      <c r="E15" s="34">
        <f>0.4*0.06</f>
        <v>2.4E-2</v>
      </c>
      <c r="F15" s="54">
        <f t="shared" ref="F15:F17" si="4">IF(C15="0 - not considered at all",0*$E15,IF(C15="1 -  planned, not implemented",1*$E15/3,IF(C15="2 - partially implemented",2*$E15/3,$E15)))</f>
        <v>0</v>
      </c>
      <c r="G15" s="55">
        <f t="shared" ref="G15:G17" si="5">IF(D15="0 - not considered at all",0*$E15,IF(D15="1 -  planned, not implemented",1*$E15/3,IF(D15="2 - partially implemented",2*$E15/3,$E15)))</f>
        <v>0</v>
      </c>
      <c r="J15" s="138"/>
      <c r="K15" s="138"/>
      <c r="L15" s="96"/>
      <c r="M15" s="138"/>
    </row>
    <row r="16" spans="1:13" ht="28.5" customHeight="1">
      <c r="A16" s="37">
        <v>2</v>
      </c>
      <c r="B16" s="39" t="s">
        <v>18</v>
      </c>
      <c r="C16" s="97" t="s">
        <v>124</v>
      </c>
      <c r="D16" s="97" t="s">
        <v>121</v>
      </c>
      <c r="E16" s="34">
        <f>0.25*0.06</f>
        <v>1.4999999999999999E-2</v>
      </c>
      <c r="F16" s="54">
        <f t="shared" si="4"/>
        <v>1.4999999999999999E-2</v>
      </c>
      <c r="G16" s="55">
        <f t="shared" si="5"/>
        <v>0</v>
      </c>
      <c r="J16" s="138"/>
      <c r="K16" s="138"/>
      <c r="L16" s="96"/>
      <c r="M16" s="138"/>
    </row>
    <row r="17" spans="1:13" ht="51">
      <c r="A17" s="37">
        <v>3</v>
      </c>
      <c r="B17" s="39" t="s">
        <v>128</v>
      </c>
      <c r="C17" s="97" t="s">
        <v>122</v>
      </c>
      <c r="D17" s="97" t="s">
        <v>121</v>
      </c>
      <c r="E17" s="34">
        <f>0.35*0.06</f>
        <v>2.0999999999999998E-2</v>
      </c>
      <c r="F17" s="54">
        <f t="shared" si="4"/>
        <v>6.9999999999999993E-3</v>
      </c>
      <c r="G17" s="55">
        <f t="shared" si="5"/>
        <v>0</v>
      </c>
      <c r="J17" s="139"/>
      <c r="K17" s="139"/>
      <c r="L17" s="96"/>
      <c r="M17" s="139"/>
    </row>
    <row r="18" spans="1:13">
      <c r="A18" s="37" t="s">
        <v>8</v>
      </c>
      <c r="B18" s="14"/>
      <c r="C18" s="134" t="s">
        <v>174</v>
      </c>
      <c r="D18" s="135"/>
      <c r="E18" s="74"/>
      <c r="F18" s="21">
        <f>SUM(F15:F17)</f>
        <v>2.1999999999999999E-2</v>
      </c>
      <c r="G18" s="21">
        <f>SUM(G15:G17)</f>
        <v>0</v>
      </c>
      <c r="H18" s="70" t="s">
        <v>195</v>
      </c>
      <c r="I18" s="72"/>
      <c r="J18" s="83"/>
      <c r="K18" s="83"/>
      <c r="L18" s="83"/>
      <c r="M18" s="83"/>
    </row>
    <row r="19" spans="1:13" ht="25.5">
      <c r="A19" s="36" t="s">
        <v>22</v>
      </c>
      <c r="B19" s="41" t="s">
        <v>19</v>
      </c>
      <c r="C19" s="37"/>
      <c r="D19" s="13"/>
      <c r="E19" s="13"/>
      <c r="F19" s="13"/>
      <c r="G19" s="49"/>
      <c r="I19" s="11" t="s">
        <v>22</v>
      </c>
      <c r="J19" s="137" t="s">
        <v>214</v>
      </c>
      <c r="K19" s="146"/>
      <c r="L19" s="100"/>
      <c r="M19" s="146"/>
    </row>
    <row r="20" spans="1:13" ht="51">
      <c r="A20" s="37">
        <v>1</v>
      </c>
      <c r="B20" s="39" t="s">
        <v>110</v>
      </c>
      <c r="C20" s="97" t="s">
        <v>124</v>
      </c>
      <c r="D20" s="97" t="s">
        <v>121</v>
      </c>
      <c r="E20" s="34">
        <f>0.5*0.06</f>
        <v>0.03</v>
      </c>
      <c r="F20" s="54">
        <f t="shared" ref="F20:F21" si="6">IF(C20="0 - not considered at all",0*$E20,IF(C20="1 -  planned, not implemented",1*$E20/3,IF(C20="2 - partially implemented",2*$E20/3,$E20)))</f>
        <v>0.03</v>
      </c>
      <c r="G20" s="55">
        <f t="shared" ref="G20:G21" si="7">IF(D20="0 - not considered at all",0*$E20,IF(D20="1 -  planned, not implemented",1*$E20/3,IF(D20="2 - partially implemented",2*$E20/3,$E20)))</f>
        <v>0</v>
      </c>
      <c r="J20" s="138"/>
      <c r="K20" s="146"/>
      <c r="L20" s="100"/>
      <c r="M20" s="146"/>
    </row>
    <row r="21" spans="1:13" ht="25.5">
      <c r="A21" s="37">
        <v>2</v>
      </c>
      <c r="B21" s="39" t="s">
        <v>129</v>
      </c>
      <c r="C21" s="97" t="s">
        <v>124</v>
      </c>
      <c r="D21" s="97" t="s">
        <v>121</v>
      </c>
      <c r="E21" s="34">
        <f>0.5*0.06</f>
        <v>0.03</v>
      </c>
      <c r="F21" s="54">
        <f t="shared" si="6"/>
        <v>0.03</v>
      </c>
      <c r="G21" s="55">
        <f t="shared" si="7"/>
        <v>0</v>
      </c>
      <c r="J21" s="139"/>
      <c r="K21" s="146"/>
      <c r="L21" s="100"/>
      <c r="M21" s="146"/>
    </row>
    <row r="22" spans="1:13">
      <c r="A22" s="37" t="s">
        <v>8</v>
      </c>
      <c r="B22" s="14"/>
      <c r="C22" s="134" t="s">
        <v>182</v>
      </c>
      <c r="D22" s="135"/>
      <c r="E22" s="136"/>
      <c r="F22" s="21">
        <f>SUM(F20:F21)</f>
        <v>0.06</v>
      </c>
      <c r="G22" s="21">
        <f>SUM(G19:G21)</f>
        <v>0</v>
      </c>
      <c r="H22" s="70" t="s">
        <v>195</v>
      </c>
      <c r="I22" s="72"/>
      <c r="J22" s="83"/>
      <c r="K22" s="83"/>
      <c r="L22" s="83"/>
      <c r="M22" s="83"/>
    </row>
    <row r="23" spans="1:13">
      <c r="A23" s="36" t="s">
        <v>23</v>
      </c>
      <c r="B23" s="93" t="s">
        <v>77</v>
      </c>
      <c r="C23" s="67"/>
      <c r="D23" s="82"/>
      <c r="E23" s="82"/>
      <c r="F23" s="82"/>
      <c r="G23" s="82"/>
      <c r="I23" s="11" t="s">
        <v>23</v>
      </c>
      <c r="J23" s="146" t="s">
        <v>215</v>
      </c>
      <c r="K23" s="146" t="s">
        <v>228</v>
      </c>
      <c r="L23" s="100"/>
      <c r="M23" s="146"/>
    </row>
    <row r="24" spans="1:13" ht="25.5">
      <c r="A24" s="37">
        <v>1</v>
      </c>
      <c r="B24" s="39" t="s">
        <v>24</v>
      </c>
      <c r="C24" s="97" t="s">
        <v>123</v>
      </c>
      <c r="D24" s="97" t="s">
        <v>121</v>
      </c>
      <c r="E24" s="34">
        <f>0.6*0.03</f>
        <v>1.7999999999999999E-2</v>
      </c>
      <c r="F24" s="54">
        <f t="shared" ref="F24:F25" si="8">IF(C24="0 - not considered at all",0*$E24,IF(C24="1 -  planned, not implemented",1*$E24/3,IF(C24="2 - partially implemented",2*$E24/3,$E24)))</f>
        <v>1.1999999999999999E-2</v>
      </c>
      <c r="G24" s="55">
        <f t="shared" ref="G24:G25" si="9">IF(D24="0 - not considered at all",0*$E24,IF(D24="1 -  planned, not implemented",1*$E24/3,IF(D24="2 - partially implemented",2*$E24/3,$E24)))</f>
        <v>0</v>
      </c>
      <c r="J24" s="146"/>
      <c r="K24" s="146"/>
      <c r="L24" s="100"/>
      <c r="M24" s="146"/>
    </row>
    <row r="25" spans="1:13" ht="25.5">
      <c r="A25" s="37">
        <v>2</v>
      </c>
      <c r="B25" s="39" t="s">
        <v>111</v>
      </c>
      <c r="C25" s="97" t="s">
        <v>122</v>
      </c>
      <c r="D25" s="97" t="s">
        <v>121</v>
      </c>
      <c r="E25" s="34">
        <f>0.4*0.03</f>
        <v>1.2E-2</v>
      </c>
      <c r="F25" s="54">
        <f t="shared" si="8"/>
        <v>4.0000000000000001E-3</v>
      </c>
      <c r="G25" s="55">
        <f t="shared" si="9"/>
        <v>0</v>
      </c>
      <c r="J25" s="146"/>
      <c r="K25" s="146"/>
      <c r="L25" s="100"/>
      <c r="M25" s="146"/>
    </row>
    <row r="26" spans="1:13">
      <c r="A26" s="37" t="s">
        <v>8</v>
      </c>
      <c r="B26" s="14"/>
      <c r="C26" s="134" t="s">
        <v>183</v>
      </c>
      <c r="D26" s="135"/>
      <c r="E26" s="136"/>
      <c r="F26" s="21">
        <f>SUM(F24:F25)</f>
        <v>1.6E-2</v>
      </c>
      <c r="G26" s="21">
        <f>SUM(G23:G25)</f>
        <v>0</v>
      </c>
      <c r="H26" s="70" t="s">
        <v>196</v>
      </c>
      <c r="I26" s="72"/>
      <c r="J26" s="101"/>
      <c r="K26" s="101"/>
      <c r="L26" s="101"/>
      <c r="M26" s="101"/>
    </row>
    <row r="27" spans="1:13" ht="30">
      <c r="A27" s="36" t="s">
        <v>25</v>
      </c>
      <c r="B27" s="87" t="s">
        <v>78</v>
      </c>
      <c r="C27" s="67"/>
      <c r="D27" s="82"/>
      <c r="E27" s="82"/>
      <c r="F27" s="82"/>
      <c r="G27" s="82"/>
      <c r="I27" s="11" t="s">
        <v>25</v>
      </c>
      <c r="J27" s="146" t="s">
        <v>216</v>
      </c>
      <c r="K27" s="146" t="s">
        <v>229</v>
      </c>
      <c r="L27" s="100"/>
      <c r="M27" s="146"/>
    </row>
    <row r="28" spans="1:13" ht="44.25" customHeight="1">
      <c r="A28" s="37">
        <v>1</v>
      </c>
      <c r="B28" s="39" t="s">
        <v>112</v>
      </c>
      <c r="C28" s="97" t="s">
        <v>123</v>
      </c>
      <c r="D28" s="97" t="s">
        <v>121</v>
      </c>
      <c r="E28" s="34">
        <f>0.5*0.03</f>
        <v>1.4999999999999999E-2</v>
      </c>
      <c r="F28" s="54">
        <f t="shared" ref="F28:F29" si="10">IF(C28="0 - not considered at all",0*$E28,IF(C28="1 -  planned, not implemented",1*$E28/3,IF(C28="2 - partially implemented",2*$E28/3,$E28)))</f>
        <v>0.01</v>
      </c>
      <c r="G28" s="55">
        <f t="shared" ref="G28:G29" si="11">IF(D28="0 - not considered at all",0*$E28,IF(D28="1 -  planned, not implemented",1*$E28/3,IF(D28="2 - partially implemented",2*$E28/3,$E28)))</f>
        <v>0</v>
      </c>
      <c r="J28" s="146"/>
      <c r="K28" s="146"/>
      <c r="L28" s="100"/>
      <c r="M28" s="146"/>
    </row>
    <row r="29" spans="1:13" ht="63.75">
      <c r="A29" s="37">
        <v>2</v>
      </c>
      <c r="B29" s="39" t="s">
        <v>113</v>
      </c>
      <c r="C29" s="97" t="s">
        <v>123</v>
      </c>
      <c r="D29" s="97" t="s">
        <v>121</v>
      </c>
      <c r="E29" s="34">
        <f>0.5*0.03</f>
        <v>1.4999999999999999E-2</v>
      </c>
      <c r="F29" s="54">
        <f t="shared" si="10"/>
        <v>0.01</v>
      </c>
      <c r="G29" s="55">
        <f t="shared" si="11"/>
        <v>0</v>
      </c>
      <c r="J29" s="146"/>
      <c r="K29" s="146"/>
      <c r="L29" s="100"/>
      <c r="M29" s="146"/>
    </row>
    <row r="30" spans="1:13" ht="15.75" thickBot="1">
      <c r="A30" s="37" t="s">
        <v>8</v>
      </c>
      <c r="B30" s="14"/>
      <c r="C30" s="134" t="s">
        <v>184</v>
      </c>
      <c r="D30" s="135"/>
      <c r="E30" s="136"/>
      <c r="F30" s="21">
        <f>SUM(F28:F29)</f>
        <v>0.02</v>
      </c>
      <c r="G30" s="21">
        <f>SUM(G27:G29)</f>
        <v>0</v>
      </c>
      <c r="H30" s="70" t="s">
        <v>196</v>
      </c>
      <c r="I30" s="72"/>
    </row>
    <row r="31" spans="1:13" ht="15.75" thickBot="1">
      <c r="C31" s="140" t="s">
        <v>175</v>
      </c>
      <c r="D31" s="140"/>
      <c r="F31" s="46">
        <f>SUM(F7,F13,F18,F22,F26,F30)</f>
        <v>0.23800000000000002</v>
      </c>
      <c r="G31" s="46">
        <f>SUM(G7,G13,G18,G22,G26,G30)</f>
        <v>0</v>
      </c>
    </row>
    <row r="32" spans="1:13">
      <c r="C32" s="141" t="s">
        <v>181</v>
      </c>
      <c r="D32" s="141"/>
      <c r="F32" s="49">
        <v>30</v>
      </c>
      <c r="G32" s="49">
        <v>30</v>
      </c>
    </row>
    <row r="33" spans="1:12">
      <c r="D33" s="16"/>
      <c r="E33" s="16"/>
      <c r="G33" s="43"/>
    </row>
    <row r="34" spans="1:12" customFormat="1" ht="32.25" customHeight="1">
      <c r="A34" s="132" t="s">
        <v>153</v>
      </c>
      <c r="B34" s="132"/>
      <c r="C34" s="47"/>
      <c r="D34" s="133" t="s">
        <v>154</v>
      </c>
      <c r="E34" s="133"/>
      <c r="F34" s="133"/>
      <c r="G34" s="133"/>
      <c r="H34" s="133"/>
      <c r="I34" s="133"/>
      <c r="J34" s="133"/>
      <c r="K34" s="48"/>
      <c r="L34" s="48"/>
    </row>
  </sheetData>
  <sheetProtection password="C7FA" sheet="1" objects="1" scenarios="1" formatRows="0"/>
  <mergeCells count="28">
    <mergeCell ref="C7:D7"/>
    <mergeCell ref="C13:D13"/>
    <mergeCell ref="C18:D18"/>
    <mergeCell ref="C31:D31"/>
    <mergeCell ref="J19:J21"/>
    <mergeCell ref="K19:K2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A34:B34"/>
    <mergeCell ref="D34:J34"/>
    <mergeCell ref="C30:E30"/>
    <mergeCell ref="C22:E22"/>
    <mergeCell ref="C26:E26"/>
    <mergeCell ref="J23:J25"/>
    <mergeCell ref="J27:J29"/>
    <mergeCell ref="C32:D32"/>
  </mergeCells>
  <phoneticPr fontId="7" type="noConversion"/>
  <dataValidations count="1">
    <dataValidation type="list" allowBlank="1" showInputMessage="1" showErrorMessage="1" sqref="C24:D25 C28:D29 C4:D6 C9:D12 C15:D17 C20:D21">
      <formula1>$L$4:$L$7</formula1>
    </dataValidation>
  </dataValidations>
  <pageMargins left="0.51181102362204722" right="0.31496062992125984" top="0.74803149606299213" bottom="0.74803149606299213" header="0.31496062992125984" footer="0.31496062992125984"/>
  <pageSetup paperSize="9" scale="95" firstPageNumber="4" orientation="landscape" useFirstPageNumber="1" r:id="rId1"/>
  <headerFooter>
    <oddHeader>&amp;C Theory of Law case page &amp;P</oddHeader>
    <oddFooter>&amp;LCopy right issue&amp;CThis product is released under Creative Common licence  
CC BY-NC-ND 3.0&amp;R&amp;G</oddFooter>
  </headerFooter>
  <rowBreaks count="2" manualBreakCount="2">
    <brk id="13" max="12" man="1"/>
    <brk id="18" max="16383"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zoomScaleNormal="100" workbookViewId="0">
      <selection activeCell="K35" sqref="K35"/>
    </sheetView>
  </sheetViews>
  <sheetFormatPr defaultColWidth="34.5703125" defaultRowHeight="15"/>
  <cols>
    <col min="1" max="1" width="4.42578125" style="11" customWidth="1"/>
    <col min="2" max="2" width="31.85546875" style="10" customWidth="1"/>
    <col min="3" max="3" width="17.7109375" style="11" customWidth="1"/>
    <col min="4" max="4" width="18.28515625" style="12" hidden="1" customWidth="1"/>
    <col min="5" max="5" width="0.140625" style="12" customWidth="1"/>
    <col min="6" max="6" width="7.85546875" style="12" customWidth="1"/>
    <col min="7" max="7" width="8.5703125" style="12" hidden="1" customWidth="1"/>
    <col min="8" max="8" width="3.140625" style="11" customWidth="1"/>
    <col min="9" max="9" width="3.5703125" style="11" customWidth="1"/>
    <col min="10" max="10" width="35" style="11" customWidth="1"/>
    <col min="11" max="11" width="27.85546875" style="11" customWidth="1"/>
    <col min="12" max="12" width="0.140625" style="11" customWidth="1"/>
    <col min="13" max="13" width="35.28515625" style="11" hidden="1" customWidth="1"/>
    <col min="14" max="14" width="3" style="11" bestFit="1" customWidth="1"/>
    <col min="15" max="16384" width="34.5703125" style="11"/>
  </cols>
  <sheetData>
    <row r="1" spans="1:13" s="19" customFormat="1">
      <c r="A1" s="32" t="s">
        <v>126</v>
      </c>
      <c r="B1" s="18"/>
      <c r="D1" s="20"/>
      <c r="E1" s="20"/>
      <c r="F1" s="20"/>
      <c r="G1" s="20"/>
    </row>
    <row r="2" spans="1:13" ht="78" customHeight="1">
      <c r="A2" s="61" t="s">
        <v>75</v>
      </c>
      <c r="B2" s="62" t="s">
        <v>162</v>
      </c>
      <c r="C2" s="63" t="s">
        <v>118</v>
      </c>
      <c r="D2" s="64" t="s">
        <v>156</v>
      </c>
      <c r="E2" s="75" t="s">
        <v>9</v>
      </c>
      <c r="F2" s="75" t="s">
        <v>12</v>
      </c>
      <c r="G2" s="66" t="s">
        <v>157</v>
      </c>
      <c r="H2" s="67"/>
      <c r="I2" s="67"/>
      <c r="J2" s="68" t="s">
        <v>130</v>
      </c>
      <c r="K2" s="69" t="s">
        <v>201</v>
      </c>
      <c r="L2" s="67"/>
      <c r="M2" s="76" t="s">
        <v>176</v>
      </c>
    </row>
    <row r="3" spans="1:13" ht="30">
      <c r="A3" s="89" t="s">
        <v>26</v>
      </c>
      <c r="B3" s="90" t="s">
        <v>27</v>
      </c>
      <c r="C3" s="67"/>
      <c r="D3" s="82"/>
      <c r="E3" s="82"/>
      <c r="F3" s="82"/>
      <c r="G3" s="82"/>
      <c r="I3" s="11" t="s">
        <v>26</v>
      </c>
      <c r="J3" s="146" t="s">
        <v>217</v>
      </c>
      <c r="K3" s="146" t="s">
        <v>230</v>
      </c>
      <c r="L3" s="100"/>
      <c r="M3" s="146"/>
    </row>
    <row r="4" spans="1:13" ht="25.5" customHeight="1">
      <c r="A4" s="37">
        <v>1</v>
      </c>
      <c r="B4" s="56" t="s">
        <v>131</v>
      </c>
      <c r="C4" s="97" t="s">
        <v>124</v>
      </c>
      <c r="D4" s="97" t="s">
        <v>122</v>
      </c>
      <c r="E4" s="34">
        <f>0.2*0.04</f>
        <v>8.0000000000000002E-3</v>
      </c>
      <c r="F4" s="54">
        <f>IF(C4="0 - not considered at all",0*$E4,IF(C4="1 -  planned, not implemented",$E4/3,IF(C4="2 - partially implemented",2*$E4/3,$E4)))</f>
        <v>8.0000000000000002E-3</v>
      </c>
      <c r="G4" s="55">
        <f>IF(D4="0 - not considered at all",0*$E4,IF(D4="1 -  planned, not implemented",$E4/3,IF(D4="2 - partially implemented",2*$E4/3,$E4)))</f>
        <v>2.6666666666666666E-3</v>
      </c>
      <c r="J4" s="146"/>
      <c r="K4" s="146"/>
      <c r="L4" s="98" t="s">
        <v>121</v>
      </c>
      <c r="M4" s="146"/>
    </row>
    <row r="5" spans="1:13" ht="27" customHeight="1">
      <c r="A5" s="37">
        <v>2</v>
      </c>
      <c r="B5" s="56" t="s">
        <v>132</v>
      </c>
      <c r="C5" s="97" t="s">
        <v>124</v>
      </c>
      <c r="D5" s="97" t="s">
        <v>123</v>
      </c>
      <c r="E5" s="34">
        <f>0.3*0.04</f>
        <v>1.2E-2</v>
      </c>
      <c r="F5" s="54">
        <f t="shared" ref="F5:F8" si="0">IF(C5="0 - not considered at all",0*$E5,IF(C5="1 -  planned, not implemented",$E5/3,IF(C5="2 - partially implemented",2*$E5/3,$E5)))</f>
        <v>1.2E-2</v>
      </c>
      <c r="G5" s="55">
        <f t="shared" ref="G5:G8" si="1">IF(D5="0 - not considered at all",0*$E5,IF(D5="1 -  planned, not implemented",$E5/3,IF(D5="2 - partially implemented",2*$E5/3,$E5)))</f>
        <v>8.0000000000000002E-3</v>
      </c>
      <c r="J5" s="146"/>
      <c r="K5" s="146"/>
      <c r="L5" s="98" t="s">
        <v>122</v>
      </c>
      <c r="M5" s="146"/>
    </row>
    <row r="6" spans="1:13" ht="27" customHeight="1">
      <c r="A6" s="37">
        <v>3</v>
      </c>
      <c r="B6" s="56" t="s">
        <v>133</v>
      </c>
      <c r="C6" s="97" t="s">
        <v>124</v>
      </c>
      <c r="D6" s="97" t="s">
        <v>122</v>
      </c>
      <c r="E6" s="34">
        <f>0.2*0.04</f>
        <v>8.0000000000000002E-3</v>
      </c>
      <c r="F6" s="54">
        <f t="shared" si="0"/>
        <v>8.0000000000000002E-3</v>
      </c>
      <c r="G6" s="55">
        <f t="shared" si="1"/>
        <v>2.6666666666666666E-3</v>
      </c>
      <c r="J6" s="146"/>
      <c r="K6" s="146"/>
      <c r="L6" s="98" t="s">
        <v>123</v>
      </c>
      <c r="M6" s="146"/>
    </row>
    <row r="7" spans="1:13" ht="31.5" customHeight="1">
      <c r="A7" s="37">
        <v>4</v>
      </c>
      <c r="B7" s="56" t="s">
        <v>134</v>
      </c>
      <c r="C7" s="97" t="s">
        <v>124</v>
      </c>
      <c r="D7" s="97" t="s">
        <v>122</v>
      </c>
      <c r="E7" s="34">
        <f>0.1*0.04</f>
        <v>4.0000000000000001E-3</v>
      </c>
      <c r="F7" s="54">
        <f t="shared" si="0"/>
        <v>4.0000000000000001E-3</v>
      </c>
      <c r="G7" s="55">
        <f t="shared" si="1"/>
        <v>1.3333333333333333E-3</v>
      </c>
      <c r="J7" s="146"/>
      <c r="K7" s="146"/>
      <c r="L7" s="98" t="s">
        <v>124</v>
      </c>
      <c r="M7" s="146"/>
    </row>
    <row r="8" spans="1:13" ht="27.75" customHeight="1">
      <c r="A8" s="37">
        <v>5</v>
      </c>
      <c r="B8" s="57" t="s">
        <v>135</v>
      </c>
      <c r="C8" s="97" t="s">
        <v>123</v>
      </c>
      <c r="D8" s="97" t="s">
        <v>122</v>
      </c>
      <c r="E8" s="34">
        <f>0.2*0.04</f>
        <v>8.0000000000000002E-3</v>
      </c>
      <c r="F8" s="54">
        <f t="shared" si="0"/>
        <v>5.3333333333333332E-3</v>
      </c>
      <c r="G8" s="55">
        <f t="shared" si="1"/>
        <v>2.6666666666666666E-3</v>
      </c>
      <c r="J8" s="146"/>
      <c r="K8" s="146"/>
      <c r="L8" s="100"/>
      <c r="M8" s="146"/>
    </row>
    <row r="9" spans="1:13" ht="17.25" customHeight="1">
      <c r="A9" s="37" t="s">
        <v>8</v>
      </c>
      <c r="B9" s="14"/>
      <c r="C9" s="134" t="s">
        <v>159</v>
      </c>
      <c r="D9" s="136"/>
      <c r="E9" s="58">
        <f>SUM(E3:E8)</f>
        <v>0.04</v>
      </c>
      <c r="F9" s="80">
        <f>SUM(F4:F8)</f>
        <v>3.7333333333333336E-2</v>
      </c>
      <c r="G9" s="80">
        <f>SUM(G4:G8)</f>
        <v>1.7333333333333333E-2</v>
      </c>
      <c r="H9" s="15" t="s">
        <v>197</v>
      </c>
      <c r="I9" s="15"/>
      <c r="J9" s="83"/>
      <c r="K9" s="83"/>
      <c r="L9" s="83"/>
      <c r="M9" s="83"/>
    </row>
    <row r="10" spans="1:13" ht="33" customHeight="1">
      <c r="A10" s="88" t="s">
        <v>28</v>
      </c>
      <c r="B10" s="90" t="s">
        <v>29</v>
      </c>
      <c r="C10" s="67"/>
      <c r="D10" s="82"/>
      <c r="E10" s="82"/>
      <c r="F10" s="82"/>
      <c r="G10" s="82"/>
      <c r="H10" s="78"/>
      <c r="I10" s="78" t="s">
        <v>28</v>
      </c>
      <c r="J10" s="146" t="s">
        <v>218</v>
      </c>
      <c r="K10" s="146"/>
      <c r="L10" s="100"/>
      <c r="M10" s="147"/>
    </row>
    <row r="11" spans="1:13" ht="25.5">
      <c r="A11" s="37">
        <v>1</v>
      </c>
      <c r="B11" s="39" t="s">
        <v>30</v>
      </c>
      <c r="C11" s="97" t="s">
        <v>124</v>
      </c>
      <c r="D11" s="97" t="s">
        <v>122</v>
      </c>
      <c r="E11" s="34">
        <f>0.2*4/100</f>
        <v>8.0000000000000002E-3</v>
      </c>
      <c r="F11" s="54">
        <f>IF(C11="0 - not considered at all",0*$E11,IF(C11="1 -  planned, not implemented",1*$E11/3,IF(C11="2 - partially implemented",2*$E11/3,$E11)))</f>
        <v>8.0000000000000002E-3</v>
      </c>
      <c r="G11" s="55">
        <f t="shared" ref="G11:G14" si="2">IF(D11="0 - not considered at all",0*$E11,IF(D11="1 -  planned, not implemented",$E11/3,IF(D11="2 - partially implemented",2*$E11/3,$E11)))</f>
        <v>2.6666666666666666E-3</v>
      </c>
      <c r="J11" s="146"/>
      <c r="K11" s="146"/>
      <c r="L11" s="100"/>
      <c r="M11" s="147"/>
    </row>
    <row r="12" spans="1:13" ht="25.5">
      <c r="A12" s="37">
        <v>2</v>
      </c>
      <c r="B12" s="39" t="s">
        <v>31</v>
      </c>
      <c r="C12" s="97" t="s">
        <v>123</v>
      </c>
      <c r="D12" s="97" t="s">
        <v>122</v>
      </c>
      <c r="E12" s="34">
        <f>0.2*4/100</f>
        <v>8.0000000000000002E-3</v>
      </c>
      <c r="F12" s="54">
        <f t="shared" ref="F12:F14" si="3">IF(C12="0 - not considered at all",0*$E12,IF(C12="1 -  planned, not implemented",1*$E12/3,IF(C12="2 - partially implemented",2*$E12/3,$E12)))</f>
        <v>5.3333333333333332E-3</v>
      </c>
      <c r="G12" s="55">
        <f t="shared" si="2"/>
        <v>2.6666666666666666E-3</v>
      </c>
      <c r="J12" s="146"/>
      <c r="K12" s="146"/>
      <c r="L12" s="100"/>
      <c r="M12" s="147"/>
    </row>
    <row r="13" spans="1:13" ht="38.25">
      <c r="A13" s="37">
        <v>3</v>
      </c>
      <c r="B13" s="39" t="s">
        <v>69</v>
      </c>
      <c r="C13" s="97" t="s">
        <v>121</v>
      </c>
      <c r="D13" s="97" t="s">
        <v>122</v>
      </c>
      <c r="E13" s="34">
        <f>0.3*4/100</f>
        <v>1.2E-2</v>
      </c>
      <c r="F13" s="54">
        <f t="shared" si="3"/>
        <v>0</v>
      </c>
      <c r="G13" s="55">
        <f t="shared" si="2"/>
        <v>4.0000000000000001E-3</v>
      </c>
      <c r="J13" s="146"/>
      <c r="K13" s="146"/>
      <c r="L13" s="100"/>
      <c r="M13" s="147"/>
    </row>
    <row r="14" spans="1:13" ht="25.5">
      <c r="A14" s="37">
        <v>4</v>
      </c>
      <c r="B14" s="39" t="s">
        <v>70</v>
      </c>
      <c r="C14" s="97" t="s">
        <v>121</v>
      </c>
      <c r="D14" s="97" t="s">
        <v>122</v>
      </c>
      <c r="E14" s="34">
        <f>0.3*4/100</f>
        <v>1.2E-2</v>
      </c>
      <c r="F14" s="54">
        <f t="shared" si="3"/>
        <v>0</v>
      </c>
      <c r="G14" s="55">
        <f t="shared" si="2"/>
        <v>4.0000000000000001E-3</v>
      </c>
      <c r="J14" s="146"/>
      <c r="K14" s="146"/>
      <c r="L14" s="100"/>
      <c r="M14" s="147"/>
    </row>
    <row r="15" spans="1:13">
      <c r="A15" s="37" t="s">
        <v>8</v>
      </c>
      <c r="B15" s="14"/>
      <c r="C15" s="134" t="s">
        <v>160</v>
      </c>
      <c r="D15" s="136"/>
      <c r="E15" s="51"/>
      <c r="F15" s="80">
        <f>SUM(F11:F14)</f>
        <v>1.3333333333333332E-2</v>
      </c>
      <c r="G15" s="80">
        <f>SUM(G11:G14)</f>
        <v>1.3333333333333332E-2</v>
      </c>
      <c r="H15" s="15" t="s">
        <v>197</v>
      </c>
      <c r="I15" s="15"/>
      <c r="J15" s="83"/>
      <c r="K15" s="83"/>
      <c r="L15" s="83"/>
      <c r="M15" s="83"/>
    </row>
    <row r="16" spans="1:13">
      <c r="A16" s="88" t="s">
        <v>116</v>
      </c>
      <c r="B16" s="91" t="s">
        <v>71</v>
      </c>
      <c r="C16" s="67"/>
      <c r="D16" s="82"/>
      <c r="E16" s="82"/>
      <c r="F16" s="82"/>
      <c r="G16" s="82"/>
      <c r="H16" s="78"/>
      <c r="I16" s="78" t="s">
        <v>116</v>
      </c>
      <c r="J16" s="146" t="s">
        <v>219</v>
      </c>
      <c r="K16" s="137" t="s">
        <v>231</v>
      </c>
      <c r="L16" s="96"/>
      <c r="M16" s="147"/>
    </row>
    <row r="17" spans="1:13" ht="27" customHeight="1">
      <c r="A17" s="37">
        <v>1</v>
      </c>
      <c r="B17" s="39" t="s">
        <v>136</v>
      </c>
      <c r="C17" s="97" t="s">
        <v>122</v>
      </c>
      <c r="D17" s="97" t="s">
        <v>122</v>
      </c>
      <c r="E17" s="34">
        <f t="shared" ref="E17:E21" si="4">0.2*4/100</f>
        <v>8.0000000000000002E-3</v>
      </c>
      <c r="F17" s="54">
        <f t="shared" ref="F17:F21" si="5">IF(C17="0 - not considered at all",0*$E17,IF(C17="1 -  planned, not implemented",1*$E17/3,IF(C17="2 - partially implemented",2*$E17/3,$E17)))</f>
        <v>2.6666666666666666E-3</v>
      </c>
      <c r="G17" s="55">
        <f t="shared" ref="G17:G21" si="6">IF(D17="0 - not considered at all",0*$E17,IF(D17="1 -  planned, not implemented",$E17/3,IF(D17="2 - partially implemented",2*$E17/3,$E17)))</f>
        <v>2.6666666666666666E-3</v>
      </c>
      <c r="J17" s="146"/>
      <c r="K17" s="138"/>
      <c r="L17" s="96"/>
      <c r="M17" s="147"/>
    </row>
    <row r="18" spans="1:13" ht="39" customHeight="1">
      <c r="A18" s="37">
        <v>2</v>
      </c>
      <c r="B18" s="39" t="s">
        <v>137</v>
      </c>
      <c r="C18" s="97" t="s">
        <v>124</v>
      </c>
      <c r="D18" s="97" t="s">
        <v>124</v>
      </c>
      <c r="E18" s="34">
        <f t="shared" si="4"/>
        <v>8.0000000000000002E-3</v>
      </c>
      <c r="F18" s="54">
        <f t="shared" si="5"/>
        <v>8.0000000000000002E-3</v>
      </c>
      <c r="G18" s="55">
        <f t="shared" si="6"/>
        <v>8.0000000000000002E-3</v>
      </c>
      <c r="J18" s="146"/>
      <c r="K18" s="138"/>
      <c r="L18" s="96"/>
      <c r="M18" s="147"/>
    </row>
    <row r="19" spans="1:13" ht="25.5">
      <c r="A19" s="37">
        <v>3</v>
      </c>
      <c r="B19" s="39" t="s">
        <v>138</v>
      </c>
      <c r="C19" s="97" t="s">
        <v>124</v>
      </c>
      <c r="D19" s="97" t="s">
        <v>122</v>
      </c>
      <c r="E19" s="34">
        <f t="shared" si="4"/>
        <v>8.0000000000000002E-3</v>
      </c>
      <c r="F19" s="54">
        <f t="shared" si="5"/>
        <v>8.0000000000000002E-3</v>
      </c>
      <c r="G19" s="55">
        <f t="shared" si="6"/>
        <v>2.6666666666666666E-3</v>
      </c>
      <c r="J19" s="146"/>
      <c r="K19" s="138"/>
      <c r="L19" s="96"/>
      <c r="M19" s="147"/>
    </row>
    <row r="20" spans="1:13" ht="29.25" customHeight="1">
      <c r="A20" s="37">
        <v>4</v>
      </c>
      <c r="B20" s="39" t="s">
        <v>142</v>
      </c>
      <c r="C20" s="97" t="s">
        <v>124</v>
      </c>
      <c r="D20" s="97" t="s">
        <v>124</v>
      </c>
      <c r="E20" s="34">
        <f t="shared" si="4"/>
        <v>8.0000000000000002E-3</v>
      </c>
      <c r="F20" s="54">
        <f t="shared" si="5"/>
        <v>8.0000000000000002E-3</v>
      </c>
      <c r="G20" s="55">
        <f t="shared" si="6"/>
        <v>8.0000000000000002E-3</v>
      </c>
      <c r="J20" s="146"/>
      <c r="K20" s="138"/>
      <c r="L20" s="96"/>
      <c r="M20" s="147"/>
    </row>
    <row r="21" spans="1:13" ht="38.25">
      <c r="A21" s="37">
        <v>5</v>
      </c>
      <c r="B21" s="40" t="s">
        <v>143</v>
      </c>
      <c r="C21" s="97" t="s">
        <v>123</v>
      </c>
      <c r="D21" s="97" t="s">
        <v>122</v>
      </c>
      <c r="E21" s="34">
        <f t="shared" si="4"/>
        <v>8.0000000000000002E-3</v>
      </c>
      <c r="F21" s="54">
        <f t="shared" si="5"/>
        <v>5.3333333333333332E-3</v>
      </c>
      <c r="G21" s="55">
        <f t="shared" si="6"/>
        <v>2.6666666666666666E-3</v>
      </c>
      <c r="J21" s="146"/>
      <c r="K21" s="139"/>
      <c r="L21" s="96"/>
      <c r="M21" s="147"/>
    </row>
    <row r="22" spans="1:13">
      <c r="A22" s="37" t="s">
        <v>8</v>
      </c>
      <c r="B22" s="14"/>
      <c r="C22" s="134" t="s">
        <v>161</v>
      </c>
      <c r="D22" s="136"/>
      <c r="E22" s="51"/>
      <c r="F22" s="80">
        <f>SUM(F17:F21)</f>
        <v>3.2000000000000001E-2</v>
      </c>
      <c r="G22" s="80">
        <f>SUM(G17:G21)</f>
        <v>2.4E-2</v>
      </c>
      <c r="H22" s="15" t="s">
        <v>197</v>
      </c>
      <c r="I22" s="15"/>
      <c r="J22" s="83"/>
      <c r="K22" s="83"/>
      <c r="L22" s="83"/>
      <c r="M22" s="83"/>
    </row>
    <row r="23" spans="1:13">
      <c r="A23" s="88" t="s">
        <v>32</v>
      </c>
      <c r="B23" s="91" t="s">
        <v>72</v>
      </c>
      <c r="C23" s="67"/>
      <c r="D23" s="82"/>
      <c r="E23" s="82"/>
      <c r="F23" s="82"/>
      <c r="G23" s="82"/>
      <c r="H23" s="78"/>
      <c r="I23" s="78" t="s">
        <v>32</v>
      </c>
      <c r="J23" s="146" t="s">
        <v>220</v>
      </c>
      <c r="K23" s="146" t="s">
        <v>232</v>
      </c>
      <c r="L23" s="100"/>
      <c r="M23" s="146"/>
    </row>
    <row r="24" spans="1:13" ht="66.75" customHeight="1">
      <c r="A24" s="37">
        <v>1</v>
      </c>
      <c r="B24" s="39" t="s">
        <v>144</v>
      </c>
      <c r="C24" s="97" t="s">
        <v>124</v>
      </c>
      <c r="D24" s="97" t="s">
        <v>122</v>
      </c>
      <c r="E24" s="34">
        <f>0.5*0.04</f>
        <v>0.02</v>
      </c>
      <c r="F24" s="54">
        <f t="shared" ref="F24:F25" si="7">IF(C24="0 - not considered at all",0*$E24,IF(C24="1 -  planned, not implemented",1*$E24/3,IF(C24="2 - partially implemented",2*$E24/3,$E24)))</f>
        <v>0.02</v>
      </c>
      <c r="G24" s="55">
        <f t="shared" ref="G24:G25" si="8">IF(D24="0 - not considered at all",0*$E24,IF(D24="1 -  planned, not implemented",$E24/3,IF(D24="2 - partially implemented",2*$E24/3,$E24)))</f>
        <v>6.6666666666666671E-3</v>
      </c>
      <c r="J24" s="146"/>
      <c r="K24" s="146"/>
      <c r="L24" s="100"/>
      <c r="M24" s="146"/>
    </row>
    <row r="25" spans="1:13" ht="47.25" customHeight="1">
      <c r="A25" s="37">
        <v>2</v>
      </c>
      <c r="B25" s="39" t="s">
        <v>145</v>
      </c>
      <c r="C25" s="97" t="s">
        <v>122</v>
      </c>
      <c r="D25" s="97" t="s">
        <v>122</v>
      </c>
      <c r="E25" s="34">
        <f>0.5*0.04</f>
        <v>0.02</v>
      </c>
      <c r="F25" s="54">
        <f t="shared" si="7"/>
        <v>6.6666666666666671E-3</v>
      </c>
      <c r="G25" s="55">
        <f t="shared" si="8"/>
        <v>6.6666666666666671E-3</v>
      </c>
      <c r="J25" s="146"/>
      <c r="K25" s="146"/>
      <c r="L25" s="100"/>
      <c r="M25" s="146"/>
    </row>
    <row r="26" spans="1:13">
      <c r="A26" s="37" t="s">
        <v>8</v>
      </c>
      <c r="B26" s="14"/>
      <c r="C26" s="134" t="s">
        <v>177</v>
      </c>
      <c r="D26" s="136"/>
      <c r="E26" s="51"/>
      <c r="F26" s="80">
        <f>SUM(F24:F25)</f>
        <v>2.6666666666666668E-2</v>
      </c>
      <c r="G26" s="80">
        <f>SUM(G24:G25)</f>
        <v>1.3333333333333334E-2</v>
      </c>
      <c r="H26" s="15" t="s">
        <v>197</v>
      </c>
      <c r="I26" s="15"/>
      <c r="J26" s="101"/>
      <c r="K26" s="101"/>
      <c r="L26" s="101"/>
      <c r="M26" s="101"/>
    </row>
    <row r="27" spans="1:13" ht="33.75" customHeight="1">
      <c r="A27" s="88" t="s">
        <v>33</v>
      </c>
      <c r="B27" s="90" t="s">
        <v>74</v>
      </c>
      <c r="C27" s="67"/>
      <c r="D27" s="82"/>
      <c r="E27" s="82"/>
      <c r="F27" s="82"/>
      <c r="G27" s="82"/>
      <c r="H27" s="78"/>
      <c r="I27" s="78" t="s">
        <v>33</v>
      </c>
      <c r="J27" s="146" t="s">
        <v>221</v>
      </c>
      <c r="K27" s="146" t="s">
        <v>233</v>
      </c>
      <c r="L27" s="101"/>
      <c r="M27" s="146"/>
    </row>
    <row r="28" spans="1:13" ht="34.5" customHeight="1">
      <c r="A28" s="37">
        <v>1</v>
      </c>
      <c r="B28" s="39" t="s">
        <v>146</v>
      </c>
      <c r="C28" s="97" t="s">
        <v>124</v>
      </c>
      <c r="D28" s="97" t="s">
        <v>122</v>
      </c>
      <c r="E28" s="34">
        <f>0.3*0.02</f>
        <v>6.0000000000000001E-3</v>
      </c>
      <c r="F28" s="54">
        <f t="shared" ref="F28:F30" si="9">IF(C28="0 - not considered at all",0*$E28,IF(C28="1 -  planned, not implemented",1*$E28/3,IF(C28="2 - partially implemented",2*$E28/3,$E28)))</f>
        <v>6.0000000000000001E-3</v>
      </c>
      <c r="G28" s="55">
        <f t="shared" ref="G28:G30" si="10">IF(D28="0 - not considered at all",0*$E28,IF(D28="1 -  planned, not implemented",$E28/3,IF(D28="2 - partially implemented",2*$E28/3,$E28)))</f>
        <v>2E-3</v>
      </c>
      <c r="J28" s="146"/>
      <c r="K28" s="146"/>
      <c r="L28" s="101"/>
      <c r="M28" s="146"/>
    </row>
    <row r="29" spans="1:13" ht="38.25">
      <c r="A29" s="37">
        <v>2</v>
      </c>
      <c r="B29" s="39" t="s">
        <v>147</v>
      </c>
      <c r="C29" s="97" t="s">
        <v>124</v>
      </c>
      <c r="D29" s="97" t="s">
        <v>122</v>
      </c>
      <c r="E29" s="34">
        <f>0.3*0.02</f>
        <v>6.0000000000000001E-3</v>
      </c>
      <c r="F29" s="54">
        <f t="shared" si="9"/>
        <v>6.0000000000000001E-3</v>
      </c>
      <c r="G29" s="55">
        <f t="shared" si="10"/>
        <v>2E-3</v>
      </c>
      <c r="J29" s="146"/>
      <c r="K29" s="146"/>
      <c r="L29" s="101"/>
      <c r="M29" s="146"/>
    </row>
    <row r="30" spans="1:13" ht="38.25" customHeight="1">
      <c r="A30" s="37">
        <v>3</v>
      </c>
      <c r="B30" s="39" t="s">
        <v>148</v>
      </c>
      <c r="C30" s="97" t="s">
        <v>122</v>
      </c>
      <c r="D30" s="97" t="s">
        <v>122</v>
      </c>
      <c r="E30" s="34">
        <f>0.4*0.02</f>
        <v>8.0000000000000002E-3</v>
      </c>
      <c r="F30" s="54">
        <f t="shared" si="9"/>
        <v>2.6666666666666666E-3</v>
      </c>
      <c r="G30" s="55">
        <f t="shared" si="10"/>
        <v>2.6666666666666666E-3</v>
      </c>
      <c r="J30" s="146"/>
      <c r="K30" s="146"/>
      <c r="L30" s="101"/>
      <c r="M30" s="146"/>
    </row>
    <row r="31" spans="1:13">
      <c r="A31" s="37" t="s">
        <v>8</v>
      </c>
      <c r="B31" s="14"/>
      <c r="C31" s="134" t="s">
        <v>178</v>
      </c>
      <c r="D31" s="136"/>
      <c r="E31" s="51"/>
      <c r="F31" s="80">
        <f>SUM(F28:F30)</f>
        <v>1.4666666666666666E-2</v>
      </c>
      <c r="G31" s="80">
        <f>SUM(G28:G30)</f>
        <v>6.6666666666666662E-3</v>
      </c>
      <c r="H31" s="15" t="s">
        <v>198</v>
      </c>
      <c r="I31" s="15"/>
      <c r="J31" s="101"/>
      <c r="K31" s="101"/>
      <c r="L31" s="101"/>
      <c r="M31" s="101"/>
    </row>
    <row r="32" spans="1:13" ht="16.5" customHeight="1">
      <c r="A32" s="88" t="s">
        <v>73</v>
      </c>
      <c r="B32" s="90" t="s">
        <v>94</v>
      </c>
      <c r="C32" s="67"/>
      <c r="D32" s="82"/>
      <c r="E32" s="82"/>
      <c r="F32" s="82"/>
      <c r="G32" s="49"/>
      <c r="H32" s="78"/>
      <c r="I32" s="78" t="s">
        <v>73</v>
      </c>
      <c r="J32" s="146" t="s">
        <v>222</v>
      </c>
      <c r="K32" s="146" t="s">
        <v>234</v>
      </c>
      <c r="L32" s="100"/>
      <c r="M32" s="146"/>
    </row>
    <row r="33" spans="1:13" ht="28.5" customHeight="1">
      <c r="A33" s="37">
        <v>1</v>
      </c>
      <c r="B33" s="39" t="s">
        <v>149</v>
      </c>
      <c r="C33" s="97" t="s">
        <v>124</v>
      </c>
      <c r="D33" s="97" t="s">
        <v>122</v>
      </c>
      <c r="E33" s="34">
        <f>0.5*0.02</f>
        <v>0.01</v>
      </c>
      <c r="F33" s="54">
        <f t="shared" ref="F33:F34" si="11">IF(C33="0 - not considered at all",0*$E33,IF(C33="1 -  planned, not implemented",1*$E33/3,IF(C33="2 - partially implemented",2*$E33/3,$E33)))</f>
        <v>0.01</v>
      </c>
      <c r="G33" s="55">
        <f t="shared" ref="G33:G34" si="12">IF(D33="0 - not considered at all",0*$E33,IF(D33="1 -  planned, not implemented",$E33/3,IF(D33="2 - partially implemented",2*$E33/3,$E33)))</f>
        <v>3.3333333333333335E-3</v>
      </c>
      <c r="J33" s="146"/>
      <c r="K33" s="146"/>
      <c r="L33" s="100"/>
      <c r="M33" s="146"/>
    </row>
    <row r="34" spans="1:13" ht="33" customHeight="1">
      <c r="A34" s="37">
        <v>2</v>
      </c>
      <c r="B34" s="39" t="s">
        <v>150</v>
      </c>
      <c r="C34" s="97" t="s">
        <v>123</v>
      </c>
      <c r="D34" s="97" t="s">
        <v>122</v>
      </c>
      <c r="E34" s="34">
        <f>0.5*0.02</f>
        <v>0.01</v>
      </c>
      <c r="F34" s="54">
        <f t="shared" si="11"/>
        <v>6.6666666666666671E-3</v>
      </c>
      <c r="G34" s="55">
        <f t="shared" si="12"/>
        <v>3.3333333333333335E-3</v>
      </c>
      <c r="J34" s="146"/>
      <c r="K34" s="146"/>
      <c r="L34" s="100"/>
      <c r="M34" s="146"/>
    </row>
    <row r="35" spans="1:13" ht="15.75" thickBot="1">
      <c r="A35" s="37" t="s">
        <v>8</v>
      </c>
      <c r="B35" s="14"/>
      <c r="C35" s="134" t="s">
        <v>179</v>
      </c>
      <c r="D35" s="136"/>
      <c r="E35" s="51"/>
      <c r="F35" s="80">
        <f>SUM(F33:F34)</f>
        <v>1.6666666666666666E-2</v>
      </c>
      <c r="G35" s="80">
        <f>SUM(G32:G34)</f>
        <v>6.6666666666666671E-3</v>
      </c>
      <c r="H35" s="15" t="s">
        <v>198</v>
      </c>
      <c r="I35" s="15"/>
    </row>
    <row r="36" spans="1:13" ht="15.75" thickBot="1">
      <c r="C36" s="140" t="s">
        <v>140</v>
      </c>
      <c r="D36" s="140"/>
      <c r="F36" s="46">
        <f>SUM(F9,F15,F22,F26,F31,F35)</f>
        <v>0.14066666666666666</v>
      </c>
      <c r="G36" s="46">
        <f>SUM(G9,G15,G22,G26,G31,G35)</f>
        <v>8.1333333333333341E-2</v>
      </c>
    </row>
    <row r="37" spans="1:13">
      <c r="C37" s="141" t="s">
        <v>181</v>
      </c>
      <c r="D37" s="141"/>
      <c r="E37" s="16"/>
      <c r="F37" s="49">
        <v>20</v>
      </c>
      <c r="G37" s="44">
        <v>20</v>
      </c>
    </row>
    <row r="39" spans="1:13" customFormat="1" ht="32.25" customHeight="1">
      <c r="A39" s="132" t="s">
        <v>153</v>
      </c>
      <c r="B39" s="132"/>
      <c r="C39" s="133" t="s">
        <v>154</v>
      </c>
      <c r="D39" s="133"/>
      <c r="E39" s="133"/>
      <c r="F39" s="133"/>
      <c r="G39" s="133"/>
      <c r="H39" s="133"/>
      <c r="I39" s="133"/>
      <c r="J39" s="48"/>
      <c r="K39" s="48"/>
      <c r="M39" s="48"/>
    </row>
  </sheetData>
  <sheetProtection password="C7FA" sheet="1" objects="1" scenarios="1" formatRows="0"/>
  <mergeCells count="28">
    <mergeCell ref="K32:K34"/>
    <mergeCell ref="M32:M34"/>
    <mergeCell ref="C9:D9"/>
    <mergeCell ref="C15:D15"/>
    <mergeCell ref="C22:D22"/>
    <mergeCell ref="C26:D26"/>
    <mergeCell ref="C31:D31"/>
    <mergeCell ref="J23:J25"/>
    <mergeCell ref="K23:K25"/>
    <mergeCell ref="J27:J30"/>
    <mergeCell ref="K27:K30"/>
    <mergeCell ref="J32:J34"/>
    <mergeCell ref="M3:M8"/>
    <mergeCell ref="M10:M14"/>
    <mergeCell ref="M16:M21"/>
    <mergeCell ref="M23:M25"/>
    <mergeCell ref="M27:M30"/>
    <mergeCell ref="J3:J8"/>
    <mergeCell ref="K3:K8"/>
    <mergeCell ref="J10:J14"/>
    <mergeCell ref="K10:K14"/>
    <mergeCell ref="J16:J21"/>
    <mergeCell ref="K16:K21"/>
    <mergeCell ref="A39:B39"/>
    <mergeCell ref="C39:I39"/>
    <mergeCell ref="C35:D35"/>
    <mergeCell ref="C36:D36"/>
    <mergeCell ref="C37:D37"/>
  </mergeCells>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firstPageNumber="7" orientation="landscape" useFirstPageNumber="1" r:id="rId1"/>
  <headerFooter>
    <oddHeader>&amp;C Theory of Law case page &amp;P</oddHeader>
    <oddFooter>&amp;LCopy right issues&amp;CThis product is released under Creative Common licence  
CC BY-NC-ND 3.0&amp;R&amp;G</oddFooter>
  </headerFooter>
  <rowBreaks count="2" manualBreakCount="2">
    <brk id="15" max="16383" man="1"/>
    <brk id="26" max="16383"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zoomScaleNormal="100" workbookViewId="0">
      <selection activeCell="K21" sqref="K21:K22"/>
    </sheetView>
  </sheetViews>
  <sheetFormatPr defaultColWidth="34.5703125" defaultRowHeight="15"/>
  <cols>
    <col min="1" max="1" width="4.42578125" style="11" customWidth="1"/>
    <col min="2" max="2" width="36.5703125" style="10" customWidth="1"/>
    <col min="3" max="3" width="17.7109375" style="11" customWidth="1"/>
    <col min="4" max="4" width="18.140625" style="12" hidden="1" customWidth="1"/>
    <col min="5" max="5" width="0.28515625" style="12" hidden="1" customWidth="1"/>
    <col min="6" max="6" width="8.28515625" style="12" customWidth="1"/>
    <col min="7" max="7" width="8.5703125" style="12" hidden="1" customWidth="1"/>
    <col min="8" max="8" width="3.28515625" style="11" customWidth="1"/>
    <col min="9" max="9" width="4" style="11" customWidth="1"/>
    <col min="10" max="10" width="33.5703125" style="11" customWidth="1"/>
    <col min="11" max="11" width="25.42578125" style="11" customWidth="1"/>
    <col min="12" max="12" width="0.140625" style="11" customWidth="1"/>
    <col min="13" max="13" width="29.7109375" style="11" hidden="1" customWidth="1"/>
    <col min="14" max="14" width="3" style="11" bestFit="1" customWidth="1"/>
    <col min="15" max="16384" width="34.5703125" style="11"/>
  </cols>
  <sheetData>
    <row r="1" spans="1:13" s="19" customFormat="1">
      <c r="A1" s="32" t="s">
        <v>125</v>
      </c>
      <c r="B1" s="18"/>
      <c r="D1" s="20"/>
      <c r="E1" s="20"/>
      <c r="F1" s="20"/>
      <c r="G1" s="20"/>
    </row>
    <row r="2" spans="1:13" ht="77.25" customHeight="1">
      <c r="A2" s="61" t="s">
        <v>75</v>
      </c>
      <c r="B2" s="62" t="s">
        <v>162</v>
      </c>
      <c r="C2" s="63" t="s">
        <v>118</v>
      </c>
      <c r="D2" s="64" t="s">
        <v>156</v>
      </c>
      <c r="E2" s="75" t="s">
        <v>9</v>
      </c>
      <c r="F2" s="75" t="s">
        <v>12</v>
      </c>
      <c r="G2" s="66" t="s">
        <v>157</v>
      </c>
      <c r="H2" s="67"/>
      <c r="I2" s="67"/>
      <c r="J2" s="68" t="s">
        <v>119</v>
      </c>
      <c r="K2" s="69" t="s">
        <v>191</v>
      </c>
      <c r="L2" s="67"/>
      <c r="M2" s="76" t="s">
        <v>176</v>
      </c>
    </row>
    <row r="3" spans="1:13" ht="20.25" customHeight="1">
      <c r="A3" s="60" t="s">
        <v>34</v>
      </c>
      <c r="B3" s="81" t="s">
        <v>79</v>
      </c>
      <c r="C3" s="67"/>
      <c r="D3" s="82"/>
      <c r="E3" s="82"/>
      <c r="F3" s="82"/>
      <c r="G3" s="49"/>
      <c r="I3" s="11" t="s">
        <v>34</v>
      </c>
      <c r="J3" s="145" t="s">
        <v>223</v>
      </c>
      <c r="K3" s="149" t="s">
        <v>235</v>
      </c>
      <c r="L3" s="102"/>
      <c r="M3" s="145"/>
    </row>
    <row r="4" spans="1:13" ht="39" customHeight="1">
      <c r="A4" s="37">
        <v>1</v>
      </c>
      <c r="B4" s="39" t="s">
        <v>80</v>
      </c>
      <c r="C4" s="97" t="s">
        <v>121</v>
      </c>
      <c r="D4" s="97" t="s">
        <v>124</v>
      </c>
      <c r="E4" s="34">
        <f>0.2*0.055</f>
        <v>1.1000000000000001E-2</v>
      </c>
      <c r="F4" s="54">
        <f>IF(C4="0 - not considered at all",0*$E4,IF(C4="1 -  planned, not implemented",$E4/3,IF(C4="2 - partially implemented",2*$E4/3,$E4)))</f>
        <v>0</v>
      </c>
      <c r="G4" s="55">
        <f>IF(D4="0 - not considered at all",0*$E4,IF(D4="1 -  planned, not implemented",$E4/3,IF(D4="2 - partially implemented",2*$E4/3,$E4)))</f>
        <v>1.1000000000000001E-2</v>
      </c>
      <c r="J4" s="148"/>
      <c r="K4" s="149"/>
      <c r="L4" s="103" t="s">
        <v>121</v>
      </c>
      <c r="M4" s="148"/>
    </row>
    <row r="5" spans="1:13" ht="41.25" customHeight="1">
      <c r="A5" s="37">
        <v>2</v>
      </c>
      <c r="B5" s="39" t="s">
        <v>89</v>
      </c>
      <c r="C5" s="97" t="s">
        <v>122</v>
      </c>
      <c r="D5" s="97" t="s">
        <v>124</v>
      </c>
      <c r="E5" s="34">
        <f t="shared" ref="E5:E8" si="0">0.2*0.055</f>
        <v>1.1000000000000001E-2</v>
      </c>
      <c r="F5" s="54">
        <f t="shared" ref="F5:F8" si="1">IF(C5="0 - not considered at all",0*$E5,IF(C5="1 -  planned, not implemented",$E5/3,IF(C5="2 - partially implemented",2*$E5/3,$E5)))</f>
        <v>3.666666666666667E-3</v>
      </c>
      <c r="G5" s="55">
        <f t="shared" ref="G5:G8" si="2">IF(D5="0 - not considered at all",0*$E5,IF(D5="1 -  planned, not implemented",$E5/3,IF(D5="2 - partially implemented",2*$E5/3,$E5)))</f>
        <v>1.1000000000000001E-2</v>
      </c>
      <c r="J5" s="148"/>
      <c r="K5" s="149"/>
      <c r="L5" s="103" t="s">
        <v>122</v>
      </c>
      <c r="M5" s="148"/>
    </row>
    <row r="6" spans="1:13" ht="30" customHeight="1">
      <c r="A6" s="37">
        <v>3</v>
      </c>
      <c r="B6" s="39" t="s">
        <v>85</v>
      </c>
      <c r="C6" s="97" t="s">
        <v>123</v>
      </c>
      <c r="D6" s="97" t="s">
        <v>124</v>
      </c>
      <c r="E6" s="34">
        <f t="shared" si="0"/>
        <v>1.1000000000000001E-2</v>
      </c>
      <c r="F6" s="54">
        <f t="shared" si="1"/>
        <v>7.3333333333333341E-3</v>
      </c>
      <c r="G6" s="55">
        <f t="shared" si="2"/>
        <v>1.1000000000000001E-2</v>
      </c>
      <c r="J6" s="148"/>
      <c r="K6" s="149"/>
      <c r="L6" s="103" t="s">
        <v>123</v>
      </c>
      <c r="M6" s="148"/>
    </row>
    <row r="7" spans="1:13" ht="26.25" customHeight="1">
      <c r="A7" s="37">
        <v>4</v>
      </c>
      <c r="B7" s="39" t="s">
        <v>90</v>
      </c>
      <c r="C7" s="97" t="s">
        <v>124</v>
      </c>
      <c r="D7" s="97" t="s">
        <v>121</v>
      </c>
      <c r="E7" s="34">
        <f t="shared" si="0"/>
        <v>1.1000000000000001E-2</v>
      </c>
      <c r="F7" s="54">
        <f t="shared" si="1"/>
        <v>1.1000000000000001E-2</v>
      </c>
      <c r="G7" s="55">
        <f t="shared" si="2"/>
        <v>0</v>
      </c>
      <c r="J7" s="148"/>
      <c r="K7" s="149"/>
      <c r="L7" s="103" t="s">
        <v>124</v>
      </c>
      <c r="M7" s="148"/>
    </row>
    <row r="8" spans="1:13" ht="25.5">
      <c r="A8" s="37">
        <v>5</v>
      </c>
      <c r="B8" s="40" t="s">
        <v>91</v>
      </c>
      <c r="C8" s="97" t="s">
        <v>124</v>
      </c>
      <c r="D8" s="97" t="s">
        <v>122</v>
      </c>
      <c r="E8" s="34">
        <f t="shared" si="0"/>
        <v>1.1000000000000001E-2</v>
      </c>
      <c r="F8" s="54">
        <f t="shared" si="1"/>
        <v>1.1000000000000001E-2</v>
      </c>
      <c r="G8" s="55">
        <f t="shared" si="2"/>
        <v>3.666666666666667E-3</v>
      </c>
      <c r="J8" s="148"/>
      <c r="K8" s="150"/>
      <c r="L8" s="102"/>
      <c r="M8" s="148"/>
    </row>
    <row r="9" spans="1:13" ht="17.25" customHeight="1">
      <c r="A9" s="37" t="s">
        <v>8</v>
      </c>
      <c r="B9" s="14"/>
      <c r="C9" s="134" t="s">
        <v>185</v>
      </c>
      <c r="D9" s="135"/>
      <c r="E9" s="136"/>
      <c r="F9" s="80">
        <f>SUM(F4:F8)</f>
        <v>3.3000000000000002E-2</v>
      </c>
      <c r="G9" s="80">
        <f>SUM(G4:G8)</f>
        <v>3.6666666666666667E-2</v>
      </c>
      <c r="H9" s="70" t="s">
        <v>199</v>
      </c>
      <c r="I9" s="72"/>
      <c r="J9" s="83"/>
      <c r="K9" s="83"/>
      <c r="L9" s="83"/>
      <c r="M9" s="83"/>
    </row>
    <row r="10" spans="1:13">
      <c r="A10" s="36" t="s">
        <v>35</v>
      </c>
      <c r="B10" s="87" t="s">
        <v>81</v>
      </c>
      <c r="C10" s="67"/>
      <c r="D10" s="82"/>
      <c r="E10" s="82"/>
      <c r="F10" s="82"/>
      <c r="G10" s="49"/>
      <c r="I10" s="11" t="s">
        <v>35</v>
      </c>
      <c r="J10" s="146" t="s">
        <v>224</v>
      </c>
      <c r="K10" s="146"/>
      <c r="L10" s="100"/>
      <c r="M10" s="146"/>
    </row>
    <row r="11" spans="1:13" ht="25.5">
      <c r="A11" s="37">
        <v>1</v>
      </c>
      <c r="B11" s="39" t="s">
        <v>92</v>
      </c>
      <c r="C11" s="97" t="s">
        <v>124</v>
      </c>
      <c r="D11" s="97" t="s">
        <v>122</v>
      </c>
      <c r="E11" s="13">
        <f>0.25*0.055</f>
        <v>1.375E-2</v>
      </c>
      <c r="F11" s="54">
        <f t="shared" ref="F11:G13" si="3">IF(C11="0 - not considered at all",0*$E11,IF(C11="1 -  planned, not implemented",$E11/3,IF(C11="2 - partially implemented",2*$E11/3,$E11)))</f>
        <v>1.375E-2</v>
      </c>
      <c r="G11" s="55">
        <f t="shared" si="3"/>
        <v>4.5833333333333334E-3</v>
      </c>
      <c r="J11" s="146"/>
      <c r="K11" s="146"/>
      <c r="L11" s="100"/>
      <c r="M11" s="146"/>
    </row>
    <row r="12" spans="1:13" ht="25.5">
      <c r="A12" s="37">
        <v>2</v>
      </c>
      <c r="B12" s="39" t="s">
        <v>95</v>
      </c>
      <c r="C12" s="97" t="s">
        <v>123</v>
      </c>
      <c r="D12" s="97" t="s">
        <v>122</v>
      </c>
      <c r="E12" s="77">
        <f>0.25*0.055</f>
        <v>1.375E-2</v>
      </c>
      <c r="F12" s="54">
        <f t="shared" si="3"/>
        <v>9.1666666666666667E-3</v>
      </c>
      <c r="G12" s="55">
        <f t="shared" si="3"/>
        <v>4.5833333333333334E-3</v>
      </c>
      <c r="J12" s="146"/>
      <c r="K12" s="146"/>
      <c r="L12" s="100"/>
      <c r="M12" s="146"/>
    </row>
    <row r="13" spans="1:13" ht="40.5" customHeight="1">
      <c r="A13" s="37">
        <v>3</v>
      </c>
      <c r="B13" s="39" t="s">
        <v>115</v>
      </c>
      <c r="C13" s="97" t="s">
        <v>124</v>
      </c>
      <c r="D13" s="97" t="s">
        <v>122</v>
      </c>
      <c r="E13" s="13">
        <f>0.5*0.055</f>
        <v>2.75E-2</v>
      </c>
      <c r="F13" s="54">
        <f t="shared" si="3"/>
        <v>2.75E-2</v>
      </c>
      <c r="G13" s="55">
        <f t="shared" si="3"/>
        <v>9.1666666666666667E-3</v>
      </c>
      <c r="J13" s="146"/>
      <c r="K13" s="146"/>
      <c r="L13" s="100"/>
      <c r="M13" s="146"/>
    </row>
    <row r="14" spans="1:13">
      <c r="A14" s="37" t="s">
        <v>8</v>
      </c>
      <c r="B14" s="14"/>
      <c r="C14" s="134" t="s">
        <v>186</v>
      </c>
      <c r="D14" s="135"/>
      <c r="E14" s="136"/>
      <c r="F14" s="80">
        <f>SUM(F11:F13)</f>
        <v>5.0416666666666665E-2</v>
      </c>
      <c r="G14" s="80">
        <f>SUM(G11:G13)</f>
        <v>1.8333333333333333E-2</v>
      </c>
      <c r="H14" s="70" t="s">
        <v>199</v>
      </c>
      <c r="I14" s="72"/>
      <c r="J14" s="83"/>
      <c r="K14" s="83"/>
      <c r="L14" s="83"/>
      <c r="M14" s="83"/>
    </row>
    <row r="15" spans="1:13">
      <c r="A15" s="36" t="s">
        <v>117</v>
      </c>
      <c r="B15" s="93" t="s">
        <v>83</v>
      </c>
      <c r="C15" s="67"/>
      <c r="D15" s="82"/>
      <c r="E15" s="82"/>
      <c r="F15" s="82"/>
      <c r="G15" s="49"/>
      <c r="I15" s="11" t="s">
        <v>117</v>
      </c>
      <c r="J15" s="146" t="s">
        <v>225</v>
      </c>
      <c r="K15" s="146" t="s">
        <v>139</v>
      </c>
      <c r="L15" s="100"/>
      <c r="M15" s="146" t="s">
        <v>139</v>
      </c>
    </row>
    <row r="16" spans="1:13" ht="25.5">
      <c r="A16" s="37">
        <v>1</v>
      </c>
      <c r="B16" s="39" t="s">
        <v>93</v>
      </c>
      <c r="C16" s="97" t="s">
        <v>124</v>
      </c>
      <c r="D16" s="97" t="s">
        <v>123</v>
      </c>
      <c r="E16" s="13">
        <f>0.25*0.055</f>
        <v>1.375E-2</v>
      </c>
      <c r="F16" s="54">
        <f t="shared" ref="F16:G19" si="4">IF(C16="0 - not considered at all",0*$E16,IF(C16="1 -  planned, not implemented",$E16/3,IF(C16="2 - partially implemented",2*$E16/3,$E16)))</f>
        <v>1.375E-2</v>
      </c>
      <c r="G16" s="55">
        <f t="shared" si="4"/>
        <v>9.1666666666666667E-3</v>
      </c>
      <c r="J16" s="146"/>
      <c r="K16" s="146"/>
      <c r="L16" s="100"/>
      <c r="M16" s="146"/>
    </row>
    <row r="17" spans="1:13" ht="25.5">
      <c r="A17" s="37">
        <v>2</v>
      </c>
      <c r="B17" s="39" t="s">
        <v>86</v>
      </c>
      <c r="C17" s="97" t="s">
        <v>124</v>
      </c>
      <c r="D17" s="97" t="s">
        <v>123</v>
      </c>
      <c r="E17" s="77">
        <f t="shared" ref="E17:E19" si="5">0.25*0.055</f>
        <v>1.375E-2</v>
      </c>
      <c r="F17" s="54">
        <f t="shared" si="4"/>
        <v>1.375E-2</v>
      </c>
      <c r="G17" s="55">
        <f t="shared" si="4"/>
        <v>9.1666666666666667E-3</v>
      </c>
      <c r="J17" s="146"/>
      <c r="K17" s="146"/>
      <c r="L17" s="100"/>
      <c r="M17" s="146"/>
    </row>
    <row r="18" spans="1:13" ht="25.5">
      <c r="A18" s="37">
        <v>3</v>
      </c>
      <c r="B18" s="39" t="s">
        <v>87</v>
      </c>
      <c r="C18" s="97" t="s">
        <v>123</v>
      </c>
      <c r="D18" s="97" t="s">
        <v>123</v>
      </c>
      <c r="E18" s="77">
        <f t="shared" si="5"/>
        <v>1.375E-2</v>
      </c>
      <c r="F18" s="54">
        <f t="shared" si="4"/>
        <v>9.1666666666666667E-3</v>
      </c>
      <c r="G18" s="55">
        <f t="shared" si="4"/>
        <v>9.1666666666666667E-3</v>
      </c>
      <c r="J18" s="146"/>
      <c r="K18" s="146"/>
      <c r="L18" s="100"/>
      <c r="M18" s="146"/>
    </row>
    <row r="19" spans="1:13" ht="38.25">
      <c r="A19" s="37">
        <v>4</v>
      </c>
      <c r="B19" s="40" t="s">
        <v>114</v>
      </c>
      <c r="C19" s="97" t="s">
        <v>124</v>
      </c>
      <c r="D19" s="97" t="s">
        <v>123</v>
      </c>
      <c r="E19" s="77">
        <f t="shared" si="5"/>
        <v>1.375E-2</v>
      </c>
      <c r="F19" s="54">
        <f t="shared" si="4"/>
        <v>1.375E-2</v>
      </c>
      <c r="G19" s="55">
        <f t="shared" si="4"/>
        <v>9.1666666666666667E-3</v>
      </c>
      <c r="J19" s="146"/>
      <c r="K19" s="146"/>
      <c r="L19" s="100"/>
      <c r="M19" s="146"/>
    </row>
    <row r="20" spans="1:13">
      <c r="A20" s="37" t="s">
        <v>8</v>
      </c>
      <c r="B20" s="14"/>
      <c r="C20" s="134" t="s">
        <v>187</v>
      </c>
      <c r="D20" s="135"/>
      <c r="E20" s="136"/>
      <c r="F20" s="80">
        <f>SUM(F16:F19)</f>
        <v>5.0416666666666665E-2</v>
      </c>
      <c r="G20" s="80">
        <f>SUM(G16:G19)</f>
        <v>3.6666666666666667E-2</v>
      </c>
      <c r="H20" s="70" t="s">
        <v>199</v>
      </c>
      <c r="I20" s="72"/>
      <c r="J20" s="83"/>
      <c r="K20" s="83"/>
      <c r="L20" s="83"/>
      <c r="M20" s="83"/>
    </row>
    <row r="21" spans="1:13">
      <c r="A21" s="36" t="s">
        <v>82</v>
      </c>
      <c r="B21" s="87" t="s">
        <v>84</v>
      </c>
      <c r="C21" s="67"/>
      <c r="D21" s="82"/>
      <c r="E21" s="82"/>
      <c r="F21" s="82"/>
      <c r="G21" s="49"/>
      <c r="I21" s="11" t="s">
        <v>82</v>
      </c>
      <c r="J21" s="146" t="s">
        <v>226</v>
      </c>
      <c r="K21" s="146" t="s">
        <v>236</v>
      </c>
      <c r="L21" s="100"/>
      <c r="M21" s="146"/>
    </row>
    <row r="22" spans="1:13" ht="91.5" customHeight="1">
      <c r="A22" s="37">
        <v>1</v>
      </c>
      <c r="B22" s="39" t="s">
        <v>88</v>
      </c>
      <c r="C22" s="97" t="s">
        <v>122</v>
      </c>
      <c r="D22" s="97" t="s">
        <v>122</v>
      </c>
      <c r="E22" s="13">
        <v>3.5000000000000003E-2</v>
      </c>
      <c r="F22" s="54">
        <f>IF(C22="0 - not considered at all",0*$E22,IF(C22="1 -  planned, not implemented",$E22/3,IF(C22="2 - partially implemented",2*$E22/3,$E22)))</f>
        <v>1.1666666666666667E-2</v>
      </c>
      <c r="G22" s="55">
        <f t="shared" ref="G22" si="6">IF(D22="0 - not considered at all",0*$E22,IF(D22="1 -  planned, not implemented",$E22/3,IF(D22="2 - partially implemented",2*$E22/3,$E22)))</f>
        <v>1.1666666666666667E-2</v>
      </c>
      <c r="J22" s="146"/>
      <c r="K22" s="146"/>
      <c r="L22" s="100"/>
      <c r="M22" s="146"/>
    </row>
    <row r="23" spans="1:13" ht="15.75" thickBot="1">
      <c r="A23" s="37" t="s">
        <v>8</v>
      </c>
      <c r="B23" s="14"/>
      <c r="C23" s="134" t="s">
        <v>188</v>
      </c>
      <c r="D23" s="135"/>
      <c r="E23" s="136"/>
      <c r="F23" s="80">
        <f>SUM(F22:F22)</f>
        <v>1.1666666666666667E-2</v>
      </c>
      <c r="G23" s="80">
        <f>SUM(G22)</f>
        <v>1.1666666666666667E-2</v>
      </c>
      <c r="H23" s="70" t="s">
        <v>200</v>
      </c>
      <c r="I23" s="72"/>
    </row>
    <row r="24" spans="1:13" ht="15.75" thickBot="1">
      <c r="D24" s="42" t="s">
        <v>180</v>
      </c>
      <c r="F24" s="79">
        <f>SUM(F9,F14,F20,F23)</f>
        <v>0.14549999999999999</v>
      </c>
      <c r="G24" s="79">
        <f>SUM(G9,G14,G20,G23)</f>
        <v>0.10333333333333335</v>
      </c>
    </row>
    <row r="25" spans="1:13">
      <c r="D25" s="43" t="s">
        <v>181</v>
      </c>
      <c r="E25" s="16"/>
      <c r="F25" s="49">
        <v>20</v>
      </c>
      <c r="G25" s="92">
        <v>20</v>
      </c>
    </row>
    <row r="27" spans="1:13" customFormat="1" ht="32.25" customHeight="1">
      <c r="A27" s="132" t="s">
        <v>153</v>
      </c>
      <c r="B27" s="132"/>
      <c r="C27" s="133" t="s">
        <v>154</v>
      </c>
      <c r="D27" s="133"/>
      <c r="E27" s="133"/>
      <c r="F27" s="133"/>
      <c r="G27" s="133"/>
      <c r="H27" s="133"/>
      <c r="I27" s="133"/>
      <c r="J27" s="48"/>
      <c r="K27" s="48"/>
    </row>
  </sheetData>
  <sheetProtection password="C7FA" sheet="1" objects="1" scenarios="1" formatRows="0"/>
  <mergeCells count="18">
    <mergeCell ref="K15:K19"/>
    <mergeCell ref="M15:M19"/>
    <mergeCell ref="J21:J22"/>
    <mergeCell ref="K21:K22"/>
    <mergeCell ref="M21:M22"/>
    <mergeCell ref="J15:J19"/>
    <mergeCell ref="J3:J8"/>
    <mergeCell ref="K3:K8"/>
    <mergeCell ref="M3:M8"/>
    <mergeCell ref="J10:J13"/>
    <mergeCell ref="K10:K13"/>
    <mergeCell ref="M10:M13"/>
    <mergeCell ref="A27:B27"/>
    <mergeCell ref="C27:I27"/>
    <mergeCell ref="C23:E23"/>
    <mergeCell ref="C9:E9"/>
    <mergeCell ref="C14:E14"/>
    <mergeCell ref="C20:E20"/>
  </mergeCells>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firstPageNumber="10" orientation="landscape" useFirstPageNumber="1" r:id="rId1"/>
  <headerFooter>
    <oddHeader>&amp;C Theory of Law case page &amp;P</oddHeader>
    <oddFooter>&amp;LCopy right issues&amp;CThis product is released under Creative Common licence  
CC BY-NC-ND 3.0&amp;R&amp;G</oddFooter>
  </headerFooter>
  <rowBreaks count="1" manualBreakCount="1">
    <brk id="14" max="16383"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2014-02-17T07:43:16Z</dcterms:created>
  <dcterms:modified xsi:type="dcterms:W3CDTF">2014-02-17T09:09:04Z</dcterms:modified>
  <cp:category/>
</cp:coreProperties>
</file>