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05" windowWidth="11220" windowHeight="8055"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25725"/>
</workbook>
</file>

<file path=xl/calcChain.xml><?xml version="1.0" encoding="utf-8"?>
<calcChain xmlns="http://schemas.openxmlformats.org/spreadsheetml/2006/main">
  <c r="G22" i="11"/>
  <c r="F22" l="1"/>
  <c r="F23" s="1"/>
  <c r="E17"/>
  <c r="G17" s="1"/>
  <c r="E18"/>
  <c r="E19"/>
  <c r="G19" s="1"/>
  <c r="E16"/>
  <c r="G16" s="1"/>
  <c r="E13"/>
  <c r="G13" s="1"/>
  <c r="G23"/>
  <c r="F19"/>
  <c r="F17"/>
  <c r="F13"/>
  <c r="E12"/>
  <c r="E11"/>
  <c r="E5"/>
  <c r="G5" s="1"/>
  <c r="E6"/>
  <c r="G6" s="1"/>
  <c r="E7"/>
  <c r="G7" s="1"/>
  <c r="E8"/>
  <c r="G8" s="1"/>
  <c r="F5"/>
  <c r="F6"/>
  <c r="F7"/>
  <c r="F8"/>
  <c r="E4"/>
  <c r="E34" i="10"/>
  <c r="G34" s="1"/>
  <c r="E33"/>
  <c r="G33" s="1"/>
  <c r="E29" i="4"/>
  <c r="E28"/>
  <c r="E25"/>
  <c r="E24"/>
  <c r="E21"/>
  <c r="E20"/>
  <c r="E17"/>
  <c r="E16"/>
  <c r="E15"/>
  <c r="F12" i="11" l="1"/>
  <c r="G12"/>
  <c r="F11"/>
  <c r="G11"/>
  <c r="G14" s="1"/>
  <c r="F18"/>
  <c r="G18"/>
  <c r="F4"/>
  <c r="F9" s="1"/>
  <c r="G4"/>
  <c r="G9" s="1"/>
  <c r="F16"/>
  <c r="G35" i="10"/>
  <c r="F33"/>
  <c r="F34"/>
  <c r="G20" i="11"/>
  <c r="E12" i="4"/>
  <c r="E11"/>
  <c r="G11" s="1"/>
  <c r="E10"/>
  <c r="E9"/>
  <c r="G9" s="1"/>
  <c r="G29"/>
  <c r="F29"/>
  <c r="G28"/>
  <c r="F28"/>
  <c r="G25"/>
  <c r="F25"/>
  <c r="G24"/>
  <c r="F24"/>
  <c r="F26" s="1"/>
  <c r="G21"/>
  <c r="F21"/>
  <c r="G20"/>
  <c r="F20"/>
  <c r="G17"/>
  <c r="F17"/>
  <c r="G16"/>
  <c r="F16"/>
  <c r="G15"/>
  <c r="F15"/>
  <c r="G12"/>
  <c r="F12"/>
  <c r="G10"/>
  <c r="F10"/>
  <c r="E6"/>
  <c r="G6" s="1"/>
  <c r="E5"/>
  <c r="G5" s="1"/>
  <c r="E4"/>
  <c r="G4" s="1"/>
  <c r="F4"/>
  <c r="E39" i="8"/>
  <c r="F39" s="1"/>
  <c r="E40"/>
  <c r="F40" s="1"/>
  <c r="E41"/>
  <c r="F41" s="1"/>
  <c r="E42"/>
  <c r="F42" s="1"/>
  <c r="E35"/>
  <c r="E34"/>
  <c r="E36"/>
  <c r="E33"/>
  <c r="F33" s="1"/>
  <c r="E32"/>
  <c r="F36"/>
  <c r="F35"/>
  <c r="F34"/>
  <c r="F32"/>
  <c r="E29"/>
  <c r="F29" s="1"/>
  <c r="E28"/>
  <c r="F28" s="1"/>
  <c r="E27"/>
  <c r="F27" s="1"/>
  <c r="E24"/>
  <c r="E23"/>
  <c r="E22"/>
  <c r="E19"/>
  <c r="G19" s="1"/>
  <c r="E20"/>
  <c r="E21"/>
  <c r="G21" s="1"/>
  <c r="E18"/>
  <c r="E17"/>
  <c r="F24"/>
  <c r="G42"/>
  <c r="G41"/>
  <c r="G40"/>
  <c r="G39"/>
  <c r="G36"/>
  <c r="G35"/>
  <c r="G34"/>
  <c r="G33"/>
  <c r="G32"/>
  <c r="G29"/>
  <c r="G28"/>
  <c r="G27"/>
  <c r="G24"/>
  <c r="G23"/>
  <c r="G22"/>
  <c r="G20"/>
  <c r="G18"/>
  <c r="G17"/>
  <c r="F23"/>
  <c r="F22"/>
  <c r="F21"/>
  <c r="F20"/>
  <c r="F19"/>
  <c r="F18"/>
  <c r="F17"/>
  <c r="E13"/>
  <c r="G13" s="1"/>
  <c r="E12"/>
  <c r="G12" s="1"/>
  <c r="E11"/>
  <c r="G11" s="1"/>
  <c r="E9"/>
  <c r="G9" s="1"/>
  <c r="E14"/>
  <c r="G14" s="1"/>
  <c r="E10"/>
  <c r="G10" s="1"/>
  <c r="F14"/>
  <c r="F13"/>
  <c r="F12"/>
  <c r="F11"/>
  <c r="F10"/>
  <c r="F9"/>
  <c r="G26" i="4" l="1"/>
  <c r="F20" i="11"/>
  <c r="F14"/>
  <c r="F22" i="4"/>
  <c r="F30"/>
  <c r="F24" i="11"/>
  <c r="G30" i="8"/>
  <c r="F11" i="4"/>
  <c r="F5"/>
  <c r="G13"/>
  <c r="F9"/>
  <c r="G24" i="11"/>
  <c r="J28" i="1" s="1"/>
  <c r="G7" i="4"/>
  <c r="F6"/>
  <c r="G30"/>
  <c r="G22"/>
  <c r="G18"/>
  <c r="F18"/>
  <c r="G15" i="8"/>
  <c r="G43"/>
  <c r="G37"/>
  <c r="F37"/>
  <c r="F30"/>
  <c r="G25"/>
  <c r="F25"/>
  <c r="F15"/>
  <c r="F13" i="4" l="1"/>
  <c r="G31"/>
  <c r="J26" i="1" s="1"/>
  <c r="F7" i="4"/>
  <c r="E30" i="10"/>
  <c r="G30" s="1"/>
  <c r="E29"/>
  <c r="G29" s="1"/>
  <c r="E28"/>
  <c r="G28" s="1"/>
  <c r="F30"/>
  <c r="E25"/>
  <c r="G25" s="1"/>
  <c r="E24"/>
  <c r="G24" s="1"/>
  <c r="E21"/>
  <c r="E20"/>
  <c r="G20" s="1"/>
  <c r="E19"/>
  <c r="G19" s="1"/>
  <c r="E18"/>
  <c r="G18" s="1"/>
  <c r="E17"/>
  <c r="G17" s="1"/>
  <c r="E14"/>
  <c r="G14" s="1"/>
  <c r="E13"/>
  <c r="G13" s="1"/>
  <c r="E12"/>
  <c r="G12" s="1"/>
  <c r="E11"/>
  <c r="G11" s="1"/>
  <c r="F28" l="1"/>
  <c r="F21"/>
  <c r="G21"/>
  <c r="G22" s="1"/>
  <c r="F17"/>
  <c r="F29"/>
  <c r="F31" s="1"/>
  <c r="F19"/>
  <c r="F25"/>
  <c r="G26"/>
  <c r="G15"/>
  <c r="F11"/>
  <c r="F18"/>
  <c r="F20"/>
  <c r="F24"/>
  <c r="G31"/>
  <c r="F26" l="1"/>
  <c r="F22"/>
  <c r="E8"/>
  <c r="G8" s="1"/>
  <c r="E7"/>
  <c r="G7" s="1"/>
  <c r="E6"/>
  <c r="G6" s="1"/>
  <c r="E5"/>
  <c r="G5" s="1"/>
  <c r="E4"/>
  <c r="G4" s="1"/>
  <c r="F6"/>
  <c r="F8"/>
  <c r="F7" l="1"/>
  <c r="F4"/>
  <c r="E9"/>
  <c r="F5"/>
  <c r="G9"/>
  <c r="F14"/>
  <c r="F13"/>
  <c r="F12"/>
  <c r="E6" i="8"/>
  <c r="G6" s="1"/>
  <c r="E5"/>
  <c r="G5" s="1"/>
  <c r="E4"/>
  <c r="G4" s="1"/>
  <c r="F9" i="10" l="1"/>
  <c r="F35"/>
  <c r="G7" i="8"/>
  <c r="F15" i="10"/>
  <c r="F5" i="8"/>
  <c r="F6"/>
  <c r="F4"/>
  <c r="F7" l="1"/>
  <c r="F43" l="1"/>
  <c r="G44" l="1"/>
  <c r="J25" i="1" s="1"/>
  <c r="F44" i="8"/>
  <c r="J21" i="1"/>
  <c r="F31" i="4" l="1"/>
  <c r="J19" i="1" s="1"/>
  <c r="J18"/>
  <c r="F36" i="10" l="1"/>
  <c r="J20" i="1" s="1"/>
  <c r="J16" s="1"/>
  <c r="G36" i="10" l="1"/>
  <c r="J27" i="1" s="1"/>
  <c r="J23" s="1"/>
</calcChain>
</file>

<file path=xl/comments1.xml><?xml version="1.0" encoding="utf-8"?>
<comments xmlns="http://schemas.openxmlformats.org/spreadsheetml/2006/main">
  <authors>
    <author>Windows User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<sst xmlns="http://schemas.openxmlformats.org/spreadsheetml/2006/main" count="503" uniqueCount="230">
  <si>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</si>
  <si>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</si>
  <si>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</si>
  <si>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</si>
  <si>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</si>
  <si>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</si>
  <si>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</si>
  <si>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</si>
  <si>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</si>
  <si>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</si>
  <si>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</si>
  <si>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</si>
  <si>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</si>
  <si>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</si>
  <si>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</si>
  <si>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</si>
  <si>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</si>
  <si>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</si>
  <si>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</si>
  <si>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</si>
  <si>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</si>
  <si>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</si>
  <si>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</si>
  <si>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</si>
  <si>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</si>
  <si>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</si>
  <si>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</si>
  <si>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</si>
  <si>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</si>
  <si>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</si>
  <si>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</si>
  <si>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</si>
  <si>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</si>
  <si>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</si>
  <si>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</si>
  <si>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</si>
  <si>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</si>
  <si>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</si>
  <si>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</si>
  <si>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</si>
  <si>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</si>
  <si>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</si>
  <si>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</si>
  <si>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</si>
  <si>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</si>
  <si>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</si>
  <si>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</si>
  <si>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</si>
  <si>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</si>
  <si>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</si>
  <si>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</si>
  <si>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</si>
  <si>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</si>
  <si>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</si>
  <si>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</si>
  <si>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</si>
  <si>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</si>
  <si>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</si>
  <si>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</si>
  <si>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</si>
  <si>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</si>
  <si>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</si>
  <si>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</si>
  <si>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</si>
  <si>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</si>
  <si>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</si>
  <si>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</si>
  <si>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</si>
  <si>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</si>
  <si>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</si>
  <si>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</si>
  <si>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</si>
  <si>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</si>
  <si>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</si>
  <si>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</si>
  <si>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</si>
  <si>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</si>
  <si>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</si>
  <si>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</si>
  <si>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</si>
  <si>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</si>
  <si>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</si>
  <si>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</si>
  <si>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</si>
  <si>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</si>
  <si>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</si>
  <si>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</si>
  <si>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</si>
  <si>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</si>
  <si>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</si>
  <si>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</si>
  <si>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</si>
  <si>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</si>
  <si>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</si>
  <si>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</si>
  <si>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</si>
  <si>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</si>
  <si>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</si>
  <si>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</si>
  <si>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</si>
  <si>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</si>
  <si>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</si>
  <si>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</si>
  <si>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</si>
  <si>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</si>
  <si>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</si>
  <si>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</si>
  <si>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</si>
  <si>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</si>
  <si>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</si>
  <si>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</si>
  <si>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</si>
  <si>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</si>
  <si>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</si>
  <si>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</si>
  <si>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</si>
  <si>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</si>
  <si>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</si>
  <si>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</si>
  <si>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</si>
  <si>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</si>
  <si>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</si>
  <si>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</si>
  <si>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</si>
  <si>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</si>
  <si>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</si>
  <si>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</si>
  <si>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</si>
  <si>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</si>
  <si>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</si>
  <si>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</si>
  <si>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</si>
  <si>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</si>
  <si>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</si>
  <si>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</si>
  <si>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</si>
  <si>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</si>
  <si>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</si>
  <si>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</si>
  <si>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</si>
  <si>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</si>
  <si>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</si>
  <si>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</si>
  <si>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</si>
  <si>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</si>
  <si>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</si>
  <si>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</si>
  <si>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</si>
  <si>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</si>
  <si>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</si>
  <si>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</si>
  <si>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</si>
  <si>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</si>
  <si>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</si>
  <si>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</si>
  <si>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</si>
  <si>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</si>
  <si>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</si>
  <si>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</si>
  <si>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</si>
  <si>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</si>
  <si>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</si>
  <si>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</si>
  <si>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</si>
  <si>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t>Total per A1:</t>
  </si>
  <si>
    <t>Total per A2:</t>
  </si>
  <si>
    <t>Total per A3:</t>
  </si>
  <si>
    <t>Total per A4:</t>
  </si>
  <si>
    <t>Total per A5:</t>
  </si>
  <si>
    <t>Total per A6:</t>
  </si>
  <si>
    <t>Total per group A:</t>
  </si>
  <si>
    <r>
      <t>Comments and measures for improvement 
(</t>
    </r>
    <r>
      <rPr>
        <b/>
        <sz val="11"/>
        <color rgb="FF0070C0"/>
        <rFont val="Calibri"/>
        <family val="2"/>
        <scheme val="minor"/>
      </rPr>
      <t>Column filled in by case authors, for public/ confidential use</t>
    </r>
    <r>
      <rPr>
        <b/>
        <sz val="11"/>
        <rFont val="Calibri"/>
        <family val="2"/>
        <charset val="186"/>
        <scheme val="minor"/>
      </rPr>
      <t>)</t>
    </r>
  </si>
  <si>
    <t>Total per B1:</t>
  </si>
  <si>
    <t>Total per B2:</t>
  </si>
  <si>
    <t>Total per B3:</t>
  </si>
  <si>
    <t>Total per group B:</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</si>
  <si>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</si>
  <si>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</si>
  <si>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</si>
  <si>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</si>
  <si>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</si>
  <si>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</si>
  <si>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</si>
  <si>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</si>
  <si>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</si>
  <si>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</si>
  <si>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</si>
  <si>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</si>
  <si>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</si>
  <si>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</si>
  <si>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</si>
  <si>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rgb="FF0070C0"/>
        <rFont val="Calibri"/>
        <family val="2"/>
        <scheme val="minor"/>
      </rPr>
      <t>Column filled in by case authors, for public/</t>
    </r>
    <r>
      <rPr>
        <sz val="11"/>
        <color rgb="FF0070C0"/>
        <rFont val="Calibri"/>
        <family val="2"/>
        <charset val="186"/>
        <scheme val="minor"/>
      </rPr>
      <t>confidential</t>
    </r>
    <r>
      <rPr>
        <b/>
        <sz val="11"/>
        <color rgb="FF0070C0"/>
        <rFont val="Calibri"/>
        <family val="2"/>
        <scheme val="minor"/>
      </rPr>
      <t xml:space="preserve"> use</t>
    </r>
    <r>
      <rPr>
        <b/>
        <sz val="11"/>
        <rFont val="Calibri"/>
        <family val="2"/>
        <charset val="186"/>
        <scheme val="minor"/>
      </rPr>
      <t>)</t>
    </r>
  </si>
  <si>
    <t>max 5</t>
  </si>
  <si>
    <t>max 4,5</t>
  </si>
  <si>
    <t>max 7,5</t>
  </si>
  <si>
    <t>max 6</t>
  </si>
  <si>
    <t>max 3</t>
  </si>
  <si>
    <t>max 4</t>
  </si>
  <si>
    <t>max 2</t>
  </si>
  <si>
    <t>max 5,5</t>
  </si>
  <si>
    <t>max 3,5</t>
  </si>
  <si>
    <r>
      <t>Comments and measures for improvement 
(</t>
    </r>
    <r>
      <rPr>
        <b/>
        <sz val="11"/>
        <color rgb="FF0070C0"/>
        <rFont val="Calibri"/>
        <family val="2"/>
        <scheme val="minor"/>
      </rPr>
      <t>Column filled in by case authors</t>
    </r>
    <r>
      <rPr>
        <b/>
        <sz val="11"/>
        <color rgb="FF0070C0"/>
        <rFont val="Calibri"/>
        <family val="2"/>
        <scheme val="minor"/>
      </rPr>
      <t>, for public/confidential use</t>
    </r>
    <r>
      <rPr>
        <b/>
        <sz val="11"/>
        <rFont val="Calibri"/>
        <family val="2"/>
        <charset val="186"/>
        <scheme val="minor"/>
      </rPr>
      <t>)</t>
    </r>
  </si>
  <si>
    <t>Case title</t>
  </si>
  <si>
    <t>Case authors</t>
  </si>
  <si>
    <t xml:space="preserve">Quality criteria were developed by </t>
  </si>
  <si>
    <t>Airina Volungevičienė, Estela Daukšienė, Margarita Poškutė, Dalia Baziukė</t>
  </si>
  <si>
    <t>Institutions, 
affiliation</t>
  </si>
  <si>
    <t>Vytautas Magnus University, Revive VET project consortium</t>
  </si>
  <si>
    <t xml:space="preserve">Baker program </t>
  </si>
  <si>
    <t xml:space="preserve">Learning tasks are described. They emphasize learning aims and results that must be achieved.
The created schedule of activities is visible to every student.
The students’ handbook is created.
</t>
  </si>
  <si>
    <t xml:space="preserve">Learning method is introduced into the learning program and student handbook.
Each student studies separately, however the common results are collected in the group.
Self-evaluation tools are different, for example- puzzles, quizzes, questions with video clips and etc.
</t>
  </si>
  <si>
    <t xml:space="preserve">General evaluation strategy is clearly and in detail presented in  the learning program.
Learners are introduced to the evaluation criterias not only in the learning  program, but teachers present them too.
It is not allowed for students to offer their own evaluation strategies.
Each chapter of the course ends with self-assessment.
Learners have opportunity to discuss about self-assessment results also.
A teacher uses tools of assessment to examine the tests.
</t>
  </si>
  <si>
    <t xml:space="preserve">Tasks and researches related to professional activities (necessary to a baker ).
The course provides the fundamental concepts, knowledge, practical tips for students however they are based on real-life situations related to their profession.
</t>
  </si>
  <si>
    <t xml:space="preserve">The main learning  aims are clearly presented  according training program.
The aims are formed by the  way that required specialty competencies.
Specific tasks, tests and practical work are created for these purposes.
The learning aims, tasks, tests and practical work are transferred to MOODLE system.
The aims are formed by the  way that required specialty competencies.
Specific tasks, tests and practical work are created for these purposes.
The learning aims, tasks, tests and practical work are transferred to MOODLE system.
</t>
  </si>
  <si>
    <t xml:space="preserve">Learners are provided with clearly known (topics, self-assessment tasks, etc.) navigation.
The links of   the world known bakers’ websites are presented.
</t>
  </si>
  <si>
    <t xml:space="preserve">Material is published in friendly format of browser which does not require special software that must be installed on the student’s computer.
The material is able to be downloaded, printed.
</t>
  </si>
  <si>
    <t>There is a need for the group, especially to do tasks for the students to receive different versions.</t>
  </si>
  <si>
    <t>Virtual system of assessment and self-assessment is used.</t>
  </si>
  <si>
    <t>The vocabularies of concepts are presented.</t>
  </si>
  <si>
    <t>Contact meetings are held once a month, and virtual check-in once a week.</t>
  </si>
  <si>
    <t xml:space="preserve">The material is presented clearly and logically. 
Video recordings are used for practical work and that gives students clarity and concreteness. 
</t>
  </si>
  <si>
    <t>Students are informed about the technical conditions on their first lesson.</t>
  </si>
  <si>
    <t xml:space="preserve">The content of course is understandable and clear.
The content of course is divided to topics.
Each section has pictures and diagrams that complement the content of the material. 
</t>
  </si>
  <si>
    <t>It is checking that the content of material complies with all legal acts. If a picture is used it is checked from what link is it and without prejudice to the copyright.</t>
  </si>
  <si>
    <t xml:space="preserve">Education plans are presented to students. </t>
  </si>
  <si>
    <t>Mandatory and additional references are presented to students.</t>
  </si>
  <si>
    <t xml:space="preserve">Students are encouraged to actively use ICT tools, Moodle system as tools that make easier studying and self-assessment. </t>
  </si>
  <si>
    <t xml:space="preserve">Teachers try to help in different ways. 
In case of any technical question students may apply to the technical administrator. 
</t>
  </si>
  <si>
    <t>The schedule of tasks‘ reporting is visiable to students.</t>
  </si>
  <si>
    <t>Dainė Rinkevičiūtė, Kaunas Food Industry and Trade Training Center</t>
  </si>
</sst>
</file>

<file path=xl/styles.xml><?xml version="1.0" encoding="utf-8"?>
<styleSheet xmlns="http://schemas.openxmlformats.org/spreadsheetml/2006/main">
  <numFmts count="2">
    <numFmt numFmtId="164" formatCode="0.0%"/>
    <numFmt numFmtId="165" formatCode="0.0"/>
  </numFmts>
  <fonts count="31">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i/>
      <sz val="11"/>
      <name val="Calibri"/>
      <family val="2"/>
    </font>
    <font>
      <b/>
      <sz val="11"/>
      <name val="Calibri"/>
      <family val="2"/>
      <charset val="186"/>
      <scheme val="minor"/>
    </font>
    <font>
      <b/>
      <sz val="11"/>
      <color rgb="FF0070C0"/>
      <name val="Calibri"/>
      <family val="2"/>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b/>
      <sz val="11"/>
      <color rgb="FF0070C0"/>
      <name val="Calibri"/>
      <family val="2"/>
      <charset val="186"/>
      <scheme val="minor"/>
    </font>
    <font>
      <sz val="11"/>
      <color theme="1"/>
      <name val="Calibri"/>
      <family val="2"/>
      <charset val="186"/>
      <scheme val="minor"/>
    </font>
    <font>
      <sz val="11"/>
      <color indexed="30"/>
      <name val="Calibri"/>
      <family val="2"/>
      <charset val="186"/>
    </font>
    <font>
      <sz val="11"/>
      <color rgb="FF0070C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s>
  <cellStyleXfs count="2">
    <xf numFmtId="0" fontId="0" fillId="0" borderId="0"/>
    <xf numFmtId="9" fontId="27" fillId="0" borderId="0" applyFont="0" applyFill="0" applyBorder="0" applyAlignment="0" applyProtection="0"/>
  </cellStyleXfs>
  <cellXfs count="150">
    <xf numFmtId="0" fontId="0" fillId="0" borderId="0" xfId="0"/>
    <xf numFmtId="0" fontId="0" fillId="0" borderId="2" xfId="0" applyBorder="1"/>
    <xf numFmtId="0" fontId="0" fillId="0" borderId="3"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9" fillId="2" borderId="0" xfId="0" applyFont="1" applyFill="1" applyAlignment="1">
      <alignment horizontal="left" vertical="top"/>
    </xf>
    <xf numFmtId="0" fontId="21" fillId="0" borderId="0" xfId="0" applyFont="1" applyAlignment="1">
      <alignment horizontal="left" vertical="top"/>
    </xf>
    <xf numFmtId="0" fontId="21"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1"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8" fillId="0" borderId="9" xfId="0" applyFont="1" applyBorder="1" applyAlignment="1">
      <alignment horizontal="left" vertical="top" wrapText="1"/>
    </xf>
    <xf numFmtId="164" fontId="21" fillId="2" borderId="1" xfId="1" applyNumberFormat="1" applyFont="1" applyFill="1" applyBorder="1" applyAlignment="1">
      <alignment horizontal="center" vertical="top"/>
    </xf>
    <xf numFmtId="164" fontId="21" fillId="5" borderId="1" xfId="1" applyNumberFormat="1" applyFont="1" applyFill="1" applyBorder="1" applyAlignment="1">
      <alignment horizontal="center" vertical="top"/>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9" fontId="9" fillId="0" borderId="1" xfId="1" applyFont="1" applyBorder="1" applyAlignment="1">
      <alignment horizontal="left" vertical="top"/>
    </xf>
    <xf numFmtId="0" fontId="22" fillId="0" borderId="1" xfId="0" applyFont="1" applyBorder="1" applyAlignment="1">
      <alignment horizontal="center" vertical="top"/>
    </xf>
    <xf numFmtId="0" fontId="9" fillId="0" borderId="12" xfId="0" applyFont="1" applyBorder="1" applyAlignment="1">
      <alignment horizontal="left" vertical="top"/>
    </xf>
    <xf numFmtId="0" fontId="8" fillId="0" borderId="10" xfId="0" applyFont="1" applyBorder="1" applyAlignment="1">
      <alignment horizontal="left" vertical="top"/>
    </xf>
    <xf numFmtId="0" fontId="9" fillId="0" borderId="6" xfId="0" applyFont="1" applyBorder="1" applyAlignment="1">
      <alignment horizontal="left" vertical="center" wrapText="1"/>
    </xf>
    <xf numFmtId="0" fontId="26" fillId="2"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0" fillId="0" borderId="6" xfId="0" applyBorder="1" applyAlignment="1">
      <alignment horizontal="left" vertical="top"/>
    </xf>
    <xf numFmtId="0" fontId="9" fillId="2" borderId="1" xfId="0" applyFont="1" applyFill="1" applyBorder="1" applyAlignment="1">
      <alignment horizontal="center" vertical="top" wrapText="1"/>
    </xf>
    <xf numFmtId="0" fontId="19" fillId="2" borderId="7" xfId="0" applyFont="1" applyFill="1" applyBorder="1" applyAlignment="1">
      <alignment horizontal="center" vertical="top" wrapText="1"/>
    </xf>
    <xf numFmtId="0" fontId="10" fillId="0" borderId="13" xfId="0" applyFont="1" applyBorder="1" applyAlignment="1">
      <alignment horizontal="left" vertical="top"/>
    </xf>
    <xf numFmtId="1" fontId="10" fillId="0" borderId="14" xfId="0" applyNumberFormat="1" applyFont="1" applyBorder="1" applyAlignment="1">
      <alignment horizontal="center" vertical="top"/>
    </xf>
    <xf numFmtId="0" fontId="10" fillId="0" borderId="14" xfId="0" applyFont="1" applyBorder="1" applyAlignment="1">
      <alignment horizontal="left" vertical="top"/>
    </xf>
    <xf numFmtId="10" fontId="13" fillId="0" borderId="11" xfId="0" applyNumberFormat="1" applyFont="1" applyBorder="1" applyAlignment="1">
      <alignment horizontal="center" vertical="top"/>
    </xf>
    <xf numFmtId="0" fontId="9" fillId="0" borderId="7" xfId="0" applyFont="1" applyBorder="1" applyAlignment="1">
      <alignment vertical="top"/>
    </xf>
    <xf numFmtId="0" fontId="9" fillId="2" borderId="1" xfId="0" applyFont="1" applyFill="1" applyBorder="1" applyAlignment="1">
      <alignment horizontal="center" vertical="top"/>
    </xf>
    <xf numFmtId="0" fontId="19" fillId="5" borderId="7" xfId="0" applyFont="1" applyFill="1" applyBorder="1" applyAlignment="1">
      <alignment horizontal="center" vertical="top" wrapText="1"/>
    </xf>
    <xf numFmtId="0" fontId="0" fillId="0" borderId="1" xfId="0" applyBorder="1" applyAlignment="1">
      <alignment horizontal="center" vertical="top"/>
    </xf>
    <xf numFmtId="0" fontId="0" fillId="0" borderId="15" xfId="0" applyBorder="1" applyAlignment="1">
      <alignment horizontal="left" vertical="top"/>
    </xf>
    <xf numFmtId="9" fontId="13" fillId="0" borderId="11"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3"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16" xfId="0" applyNumberFormat="1"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top"/>
    </xf>
    <xf numFmtId="0" fontId="9" fillId="0" borderId="13"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10" xfId="0" applyFont="1" applyBorder="1" applyAlignment="1">
      <alignment horizontal="left" vertical="top" wrapText="1"/>
    </xf>
    <xf numFmtId="0" fontId="0" fillId="0" borderId="10" xfId="0" applyBorder="1" applyAlignment="1">
      <alignment horizontal="center" vertical="top"/>
    </xf>
    <xf numFmtId="165" fontId="10" fillId="0" borderId="14" xfId="0" applyNumberFormat="1" applyFont="1" applyBorder="1" applyAlignment="1">
      <alignment horizontal="left" vertical="top"/>
    </xf>
    <xf numFmtId="0" fontId="0" fillId="0" borderId="1" xfId="0" applyBorder="1" applyAlignment="1" applyProtection="1">
      <alignment horizontal="left" vertical="top"/>
      <protection locked="0"/>
    </xf>
    <xf numFmtId="0" fontId="21"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0" fillId="4" borderId="1" xfId="0" applyFill="1" applyBorder="1" applyAlignment="1">
      <alignment horizontal="center" vertical="center"/>
    </xf>
    <xf numFmtId="0" fontId="1" fillId="4" borderId="27" xfId="0" applyFont="1" applyFill="1" applyBorder="1" applyAlignment="1">
      <alignment horizontal="center" wrapText="1"/>
    </xf>
    <xf numFmtId="0" fontId="0" fillId="0" borderId="23" xfId="0" applyBorder="1"/>
    <xf numFmtId="0" fontId="0" fillId="0" borderId="0" xfId="0" applyBorder="1" applyAlignment="1">
      <alignment horizontal="center" wrapText="1"/>
    </xf>
    <xf numFmtId="0" fontId="0" fillId="2" borderId="10"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10"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1" fillId="4" borderId="24" xfId="0" applyFont="1" applyFill="1" applyBorder="1" applyAlignment="1">
      <alignment horizontal="center" wrapText="1"/>
    </xf>
    <xf numFmtId="0" fontId="1" fillId="4" borderId="8" xfId="0" applyFont="1" applyFill="1" applyBorder="1" applyAlignment="1">
      <alignment horizontal="center" wrapText="1"/>
    </xf>
    <xf numFmtId="0" fontId="1" fillId="4" borderId="25" xfId="0" applyFont="1" applyFill="1" applyBorder="1" applyAlignment="1">
      <alignment horizont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1" fillId="4" borderId="2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 fillId="3"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protection locked="0"/>
    </xf>
    <xf numFmtId="0" fontId="0" fillId="4" borderId="1" xfId="0" applyFill="1" applyBorder="1" applyAlignment="1">
      <alignment horizontal="center" wrapText="1"/>
    </xf>
    <xf numFmtId="0" fontId="0" fillId="0" borderId="19"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30" fillId="0" borderId="19" xfId="0" applyFont="1" applyBorder="1" applyAlignment="1" applyProtection="1">
      <alignment horizontal="center" vertical="top" wrapText="1"/>
      <protection locked="0"/>
    </xf>
    <xf numFmtId="0" fontId="30" fillId="0" borderId="20" xfId="0" applyFont="1" applyBorder="1" applyAlignment="1" applyProtection="1">
      <alignment horizontal="center" vertical="top" wrapText="1"/>
      <protection locked="0"/>
    </xf>
    <xf numFmtId="0" fontId="30" fillId="0" borderId="12" xfId="0" applyFont="1" applyBorder="1" applyAlignment="1" applyProtection="1">
      <alignment horizontal="center" vertical="top" wrapText="1"/>
      <protection locked="0"/>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10"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13" fillId="0" borderId="15" xfId="0" applyFont="1" applyBorder="1" applyAlignment="1">
      <alignment horizontal="right" vertical="top"/>
    </xf>
    <xf numFmtId="0" fontId="17" fillId="0" borderId="0" xfId="0" applyFont="1" applyAlignment="1">
      <alignment horizontal="right" vertical="top"/>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30" fillId="0" borderId="1" xfId="0" applyFont="1" applyBorder="1" applyAlignment="1" applyProtection="1">
      <alignment horizontal="center" vertical="top" wrapText="1"/>
      <protection locked="0"/>
    </xf>
    <xf numFmtId="0" fontId="30" fillId="0" borderId="17" xfId="0" applyFont="1" applyBorder="1" applyAlignment="1" applyProtection="1">
      <alignment horizontal="center" vertical="top" wrapText="1"/>
      <protection locked="0"/>
    </xf>
    <xf numFmtId="0" fontId="30" fillId="0" borderId="13" xfId="0" applyFont="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104775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9401175"/>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49"/>
          <a:ext cx="1143000" cy="749193"/>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57175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S28"/>
  <sheetViews>
    <sheetView tabSelected="1" zoomScaleNormal="100" workbookViewId="0">
      <selection activeCell="J29" sqref="J29"/>
    </sheetView>
  </sheetViews>
  <sheetFormatPr defaultRowHeight="1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 min="12" max="12" width="3.42578125" hidden="1" customWidth="1"/>
  </cols>
  <sheetData>
    <row r="1" spans="2:19" ht="59.25" customHeight="1" thickBot="1">
      <c r="C1" s="106" t="s">
        <v>155</v>
      </c>
      <c r="D1" s="106"/>
      <c r="E1" s="106"/>
      <c r="F1" s="106"/>
      <c r="G1" s="106"/>
      <c r="H1" s="106"/>
      <c r="I1" s="106"/>
      <c r="J1" s="106"/>
      <c r="K1" s="106"/>
    </row>
    <row r="2" spans="2:19" s="23" customFormat="1" ht="21.75" customHeight="1" thickBot="1">
      <c r="B2" s="113" t="s">
        <v>189</v>
      </c>
      <c r="C2" s="114"/>
      <c r="D2" s="114"/>
      <c r="E2" s="114"/>
      <c r="F2" s="114"/>
      <c r="G2" s="114"/>
      <c r="H2" s="114"/>
      <c r="I2" s="114"/>
      <c r="J2" s="114"/>
      <c r="K2" s="114"/>
      <c r="L2" s="115"/>
      <c r="M2"/>
      <c r="N2"/>
      <c r="O2"/>
      <c r="P2"/>
      <c r="Q2"/>
      <c r="R2"/>
      <c r="S2"/>
    </row>
    <row r="3" spans="2:19" s="23" customFormat="1" ht="32.25" customHeight="1" thickTop="1">
      <c r="B3" s="125" t="s">
        <v>202</v>
      </c>
      <c r="C3" s="126"/>
      <c r="D3" s="126"/>
      <c r="E3" s="129" t="s">
        <v>208</v>
      </c>
      <c r="F3" s="129"/>
      <c r="G3" s="129"/>
      <c r="H3" s="129"/>
      <c r="I3" s="129"/>
      <c r="J3" s="129"/>
      <c r="K3" s="129"/>
      <c r="L3" s="104"/>
      <c r="M3"/>
      <c r="N3"/>
      <c r="O3"/>
      <c r="P3"/>
      <c r="Q3"/>
      <c r="R3"/>
      <c r="S3"/>
    </row>
    <row r="4" spans="2:19" s="23" customFormat="1" ht="32.25" customHeight="1">
      <c r="B4" s="125" t="s">
        <v>203</v>
      </c>
      <c r="C4" s="126"/>
      <c r="D4" s="126"/>
      <c r="E4" s="130" t="s">
        <v>229</v>
      </c>
      <c r="F4" s="130"/>
      <c r="G4" s="130"/>
      <c r="H4" s="130"/>
      <c r="I4" s="130"/>
      <c r="J4" s="130"/>
      <c r="K4" s="130"/>
      <c r="L4" s="104"/>
      <c r="M4"/>
      <c r="N4"/>
      <c r="O4"/>
      <c r="P4"/>
      <c r="Q4"/>
      <c r="R4"/>
      <c r="S4"/>
    </row>
    <row r="5" spans="2:19" s="23" customFormat="1" ht="32.25" customHeight="1">
      <c r="B5" s="125" t="s">
        <v>204</v>
      </c>
      <c r="C5" s="126"/>
      <c r="D5" s="126"/>
      <c r="E5" s="126" t="s">
        <v>205</v>
      </c>
      <c r="F5" s="126"/>
      <c r="G5" s="126"/>
      <c r="H5" s="126"/>
      <c r="I5" s="126"/>
      <c r="J5" s="126"/>
      <c r="K5" s="126"/>
      <c r="L5" s="104"/>
      <c r="M5"/>
      <c r="N5"/>
      <c r="O5"/>
      <c r="P5"/>
      <c r="Q5"/>
      <c r="R5"/>
      <c r="S5"/>
    </row>
    <row r="6" spans="2:19" s="23" customFormat="1" ht="32.25" customHeight="1">
      <c r="B6" s="125" t="s">
        <v>206</v>
      </c>
      <c r="C6" s="126"/>
      <c r="D6" s="126"/>
      <c r="E6" s="126" t="s">
        <v>207</v>
      </c>
      <c r="F6" s="126"/>
      <c r="G6" s="126"/>
      <c r="H6" s="126"/>
      <c r="I6" s="126"/>
      <c r="J6" s="126"/>
      <c r="K6" s="126"/>
      <c r="L6" s="104"/>
      <c r="M6"/>
      <c r="N6"/>
      <c r="O6"/>
      <c r="P6"/>
      <c r="Q6"/>
      <c r="R6"/>
      <c r="S6"/>
    </row>
    <row r="7" spans="2:19" s="23" customFormat="1" ht="32.25" customHeight="1">
      <c r="B7" s="127" t="s">
        <v>153</v>
      </c>
      <c r="C7" s="128"/>
      <c r="D7" s="128"/>
      <c r="E7" s="131" t="s">
        <v>154</v>
      </c>
      <c r="F7" s="131"/>
      <c r="G7" s="131"/>
      <c r="H7" s="131"/>
      <c r="I7" s="131"/>
      <c r="J7" s="131"/>
      <c r="K7" s="103"/>
      <c r="L7" s="104"/>
      <c r="M7"/>
      <c r="N7"/>
      <c r="O7"/>
      <c r="P7"/>
      <c r="Q7"/>
      <c r="R7"/>
      <c r="S7"/>
    </row>
    <row r="8" spans="2:19" ht="48.75" customHeight="1" thickBot="1">
      <c r="B8" s="116" t="s">
        <v>151</v>
      </c>
      <c r="C8" s="117"/>
      <c r="D8" s="117"/>
      <c r="E8" s="117"/>
      <c r="F8" s="117"/>
      <c r="G8" s="117"/>
      <c r="H8" s="117"/>
      <c r="I8" s="117"/>
      <c r="J8" s="117"/>
      <c r="K8" s="118"/>
      <c r="L8" s="105"/>
    </row>
    <row r="9" spans="2:19" ht="7.5" customHeight="1">
      <c r="B9" s="6"/>
      <c r="C9" s="6"/>
      <c r="D9" s="6"/>
      <c r="E9" s="6"/>
      <c r="F9" s="6"/>
      <c r="G9" s="6"/>
      <c r="H9" s="6"/>
      <c r="I9" s="6"/>
      <c r="J9" s="6"/>
      <c r="K9" s="5"/>
    </row>
    <row r="10" spans="2:19" ht="33" customHeight="1">
      <c r="B10" s="107" t="s">
        <v>0</v>
      </c>
      <c r="C10" s="108"/>
      <c r="D10" s="109"/>
      <c r="E10" s="119" t="s">
        <v>15</v>
      </c>
      <c r="F10" s="120"/>
      <c r="G10" s="120"/>
      <c r="H10" s="120"/>
      <c r="I10" s="120"/>
      <c r="J10" s="120"/>
      <c r="K10" s="121"/>
      <c r="L10" s="3"/>
    </row>
    <row r="11" spans="2:19" ht="7.5" customHeight="1">
      <c r="B11" s="22"/>
      <c r="C11" s="22"/>
      <c r="D11" s="22"/>
      <c r="E11" s="6"/>
      <c r="F11" s="5"/>
      <c r="G11" s="5"/>
      <c r="H11" s="5"/>
      <c r="I11" s="5"/>
      <c r="J11" s="5"/>
      <c r="K11" s="5"/>
    </row>
    <row r="12" spans="2:19" ht="153" customHeight="1">
      <c r="B12" s="107" t="s">
        <v>1</v>
      </c>
      <c r="C12" s="108"/>
      <c r="D12" s="109"/>
      <c r="E12" s="122" t="s">
        <v>152</v>
      </c>
      <c r="F12" s="123"/>
      <c r="G12" s="123"/>
      <c r="H12" s="123"/>
      <c r="I12" s="123"/>
      <c r="J12" s="123"/>
      <c r="K12" s="124"/>
    </row>
    <row r="13" spans="2:19" ht="7.5" customHeight="1">
      <c r="B13" s="24"/>
      <c r="C13" s="24"/>
      <c r="D13" s="24"/>
      <c r="E13" s="5"/>
      <c r="F13" s="5"/>
      <c r="G13" s="5"/>
      <c r="H13" s="5"/>
      <c r="I13" s="5"/>
      <c r="J13" s="5"/>
      <c r="K13" s="5"/>
    </row>
    <row r="14" spans="2:19" ht="74.25" customHeight="1">
      <c r="B14" s="107" t="s">
        <v>190</v>
      </c>
      <c r="C14" s="108"/>
      <c r="D14" s="109"/>
      <c r="E14" s="110" t="s">
        <v>141</v>
      </c>
      <c r="F14" s="111"/>
      <c r="G14" s="111"/>
      <c r="H14" s="111"/>
      <c r="I14" s="111"/>
      <c r="J14" s="111"/>
      <c r="K14" s="112"/>
    </row>
    <row r="15" spans="2:19" ht="6.75" customHeight="1" thickBot="1">
      <c r="J15" s="1"/>
    </row>
    <row r="16" spans="2:19" ht="16.5" thickTop="1" thickBot="1">
      <c r="B16" s="4" t="s">
        <v>2</v>
      </c>
      <c r="I16" s="2"/>
      <c r="J16" s="26">
        <f>SUM(J18:J21)</f>
        <v>0.48649999999999999</v>
      </c>
    </row>
    <row r="17" spans="2:15" s="7" customFormat="1" ht="11.25" customHeight="1" thickTop="1" thickBot="1">
      <c r="B17" s="29"/>
      <c r="C17" s="30"/>
      <c r="D17" s="30"/>
      <c r="O17" s="21"/>
    </row>
    <row r="18" spans="2:15" ht="16.5" thickTop="1" thickBot="1">
      <c r="B18" t="s">
        <v>41</v>
      </c>
      <c r="I18" s="2"/>
      <c r="J18" s="27">
        <f>'A - Didactical solutions'!F44</f>
        <v>0.16166666666666665</v>
      </c>
      <c r="K18" s="25" t="s">
        <v>96</v>
      </c>
      <c r="L18" s="8"/>
    </row>
    <row r="19" spans="2:15" ht="16.5" thickTop="1" thickBot="1">
      <c r="B19" t="s">
        <v>13</v>
      </c>
      <c r="I19" s="2"/>
      <c r="J19" s="28">
        <f>'B - Information technologies'!F31</f>
        <v>0.13800000000000001</v>
      </c>
      <c r="K19" s="25" t="s">
        <v>96</v>
      </c>
      <c r="L19" s="8"/>
    </row>
    <row r="20" spans="2:15" ht="16.5" thickTop="1" thickBot="1">
      <c r="B20" t="s">
        <v>14</v>
      </c>
      <c r="I20" s="2"/>
      <c r="J20" s="28">
        <f>'C - Structure and design'!F36</f>
        <v>0.10733333333333332</v>
      </c>
      <c r="K20" s="25" t="s">
        <v>97</v>
      </c>
      <c r="L20" s="8"/>
    </row>
    <row r="21" spans="2:15" ht="16.5" thickTop="1" thickBot="1">
      <c r="B21" t="s">
        <v>42</v>
      </c>
      <c r="I21" s="2"/>
      <c r="J21" s="28">
        <f>'D - Learning organization'!F24</f>
        <v>7.9500000000000001E-2</v>
      </c>
      <c r="K21" s="25" t="s">
        <v>97</v>
      </c>
      <c r="L21" s="8"/>
    </row>
    <row r="22" spans="2:15" ht="15.75" thickTop="1"/>
    <row r="23" spans="2:15" ht="16.5" hidden="1" thickTop="1" thickBot="1">
      <c r="B23" s="4" t="s">
        <v>158</v>
      </c>
      <c r="J23" s="49">
        <f>SUM(J25:J28)</f>
        <v>0</v>
      </c>
    </row>
    <row r="24" spans="2:15" ht="8.25" hidden="1" customHeight="1" thickTop="1" thickBot="1"/>
    <row r="25" spans="2:15" ht="16.5" hidden="1" thickTop="1" thickBot="1">
      <c r="B25" t="s">
        <v>41</v>
      </c>
      <c r="I25" s="2"/>
      <c r="J25" s="27">
        <f>'A - Didactical solutions'!G44</f>
        <v>0</v>
      </c>
      <c r="K25" s="25" t="s">
        <v>96</v>
      </c>
    </row>
    <row r="26" spans="2:15" ht="16.5" hidden="1" thickTop="1" thickBot="1">
      <c r="B26" t="s">
        <v>13</v>
      </c>
      <c r="I26" s="2"/>
      <c r="J26" s="28">
        <f>'B - Information technologies'!G31</f>
        <v>0</v>
      </c>
      <c r="K26" s="25" t="s">
        <v>96</v>
      </c>
    </row>
    <row r="27" spans="2:15" ht="16.5" hidden="1" thickTop="1" thickBot="1">
      <c r="B27" t="s">
        <v>14</v>
      </c>
      <c r="I27" s="2"/>
      <c r="J27" s="28">
        <f>'C - Structure and design'!G36</f>
        <v>0</v>
      </c>
      <c r="K27" s="25" t="s">
        <v>97</v>
      </c>
    </row>
    <row r="28" spans="2:15" ht="16.5" hidden="1" thickTop="1" thickBot="1">
      <c r="B28" t="s">
        <v>42</v>
      </c>
      <c r="I28" s="2"/>
      <c r="J28" s="28">
        <f>'D - Learning organization'!G24</f>
        <v>0</v>
      </c>
      <c r="K28" s="25" t="s">
        <v>97</v>
      </c>
    </row>
  </sheetData>
  <sheetProtection password="C7FA" sheet="1" objects="1" scenarios="1"/>
  <mergeCells count="19">
    <mergeCell ref="E5:K5"/>
    <mergeCell ref="E6:K6"/>
    <mergeCell ref="E7:J7"/>
    <mergeCell ref="C1:K1"/>
    <mergeCell ref="B14:D14"/>
    <mergeCell ref="E14:K14"/>
    <mergeCell ref="B2:L2"/>
    <mergeCell ref="B8:K8"/>
    <mergeCell ref="B10:D10"/>
    <mergeCell ref="E10:K10"/>
    <mergeCell ref="B12:D12"/>
    <mergeCell ref="E12:K12"/>
    <mergeCell ref="B3:D3"/>
    <mergeCell ref="B4:D4"/>
    <mergeCell ref="B5:D5"/>
    <mergeCell ref="B6:D6"/>
    <mergeCell ref="B7:D7"/>
    <mergeCell ref="E3:K3"/>
    <mergeCell ref="E4:K4"/>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47"/>
  <sheetViews>
    <sheetView topLeftCell="B1" zoomScaleNormal="100" workbookViewId="0">
      <selection activeCell="J3" sqref="J3:J6"/>
    </sheetView>
  </sheetViews>
  <sheetFormatPr defaultColWidth="34.5703125" defaultRowHeight="15"/>
  <cols>
    <col min="1" max="1" width="4.42578125" style="10" customWidth="1"/>
    <col min="2" max="2" width="37.42578125" style="9" customWidth="1"/>
    <col min="3" max="3" width="17" style="10" customWidth="1"/>
    <col min="4" max="4" width="15.85546875" style="10" hidden="1" customWidth="1"/>
    <col min="5" max="5" width="0.28515625" style="11" hidden="1" customWidth="1"/>
    <col min="6" max="6" width="7.85546875" style="10" customWidth="1"/>
    <col min="7" max="7" width="7.85546875" style="10" hidden="1" customWidth="1"/>
    <col min="8" max="8" width="6.140625" style="10" customWidth="1"/>
    <col min="9" max="9" width="3.5703125" style="10" customWidth="1"/>
    <col min="10" max="10" width="37.140625" style="10" customWidth="1"/>
    <col min="11" max="11" width="23.7109375" style="10" customWidth="1"/>
    <col min="12" max="12" width="32.140625" style="10" hidden="1" customWidth="1"/>
    <col min="13" max="13" width="3" style="10" customWidth="1"/>
    <col min="14" max="14" width="34.5703125" style="10" hidden="1" customWidth="1"/>
    <col min="15" max="16384" width="34.5703125" style="10"/>
  </cols>
  <sheetData>
    <row r="1" spans="1:14" s="18" customFormat="1">
      <c r="A1" s="31" t="s">
        <v>100</v>
      </c>
      <c r="B1" s="17"/>
      <c r="E1" s="19"/>
    </row>
    <row r="2" spans="1:14" ht="76.5" customHeight="1">
      <c r="A2" s="60" t="s">
        <v>75</v>
      </c>
      <c r="B2" s="61" t="s">
        <v>162</v>
      </c>
      <c r="C2" s="62" t="s">
        <v>118</v>
      </c>
      <c r="D2" s="63" t="s">
        <v>156</v>
      </c>
      <c r="E2" s="64" t="s">
        <v>9</v>
      </c>
      <c r="F2" s="64" t="s">
        <v>12</v>
      </c>
      <c r="G2" s="65" t="s">
        <v>157</v>
      </c>
      <c r="H2" s="66"/>
      <c r="I2" s="66"/>
      <c r="J2" s="67" t="s">
        <v>119</v>
      </c>
      <c r="K2" s="68" t="s">
        <v>171</v>
      </c>
      <c r="L2" s="65" t="s">
        <v>176</v>
      </c>
    </row>
    <row r="3" spans="1:14" ht="30" customHeight="1">
      <c r="A3" s="59" t="s">
        <v>3</v>
      </c>
      <c r="B3" s="80" t="s">
        <v>36</v>
      </c>
      <c r="C3" s="66"/>
      <c r="D3" s="66"/>
      <c r="E3" s="81"/>
      <c r="F3" s="81"/>
      <c r="G3" s="81"/>
      <c r="I3" s="10" t="s">
        <v>3</v>
      </c>
      <c r="J3" s="135" t="s">
        <v>213</v>
      </c>
      <c r="K3" s="135"/>
      <c r="L3" s="135"/>
      <c r="N3" s="52" t="s">
        <v>121</v>
      </c>
    </row>
    <row r="4" spans="1:14" s="32" customFormat="1" ht="38.25" customHeight="1">
      <c r="A4" s="37">
        <v>1</v>
      </c>
      <c r="B4" s="38" t="s">
        <v>43</v>
      </c>
      <c r="C4" s="96" t="s">
        <v>123</v>
      </c>
      <c r="D4" s="96" t="s">
        <v>121</v>
      </c>
      <c r="E4" s="33">
        <f>1.5/100</f>
        <v>1.4999999999999999E-2</v>
      </c>
      <c r="F4" s="53">
        <f>IF(C4="0 - not considered at all",0*$E4,IF(C4="1 -  planned, not implemented",1*$E4/3,IF(C4="2 - partially implemented",2*$E4/3,$E4)))</f>
        <v>0.01</v>
      </c>
      <c r="G4" s="54">
        <f>IF(D4="0 - not considered at all",0*$E4,IF(D4="1 -  planned, not implemented",1*$E4/3,IF(D4="2 - partially implemented",2*$E4/3,$E4)))</f>
        <v>0</v>
      </c>
      <c r="J4" s="136"/>
      <c r="K4" s="136"/>
      <c r="L4" s="136"/>
      <c r="N4" s="52" t="s">
        <v>122</v>
      </c>
    </row>
    <row r="5" spans="1:14" s="32" customFormat="1" ht="28.5" customHeight="1">
      <c r="A5" s="37">
        <v>2</v>
      </c>
      <c r="B5" s="38" t="s">
        <v>45</v>
      </c>
      <c r="C5" s="96" t="s">
        <v>124</v>
      </c>
      <c r="D5" s="96" t="s">
        <v>121</v>
      </c>
      <c r="E5" s="33">
        <f>1.5/100</f>
        <v>1.4999999999999999E-2</v>
      </c>
      <c r="F5" s="53">
        <f t="shared" ref="F5:F6" si="0">IF(C5="0 - not considered at all",0*$E5,IF(C5="1 -  planned, not implemented",1*$E5/3,IF(C5="2 - partially implemented",2*$E5/3,$E5)))</f>
        <v>1.4999999999999999E-2</v>
      </c>
      <c r="G5" s="54">
        <f>IF(D5="0 - not considered at all",0*$E5,IF(D5="1 -  planned, not implemented",1*$E5/3,IF(D5="2 - partially implemented",2*$E5/3,$E5)))</f>
        <v>0</v>
      </c>
      <c r="J5" s="136"/>
      <c r="K5" s="136"/>
      <c r="L5" s="136"/>
      <c r="N5" s="52" t="s">
        <v>123</v>
      </c>
    </row>
    <row r="6" spans="1:14" s="32" customFormat="1" ht="38.25">
      <c r="A6" s="37">
        <v>3</v>
      </c>
      <c r="B6" s="39" t="s">
        <v>66</v>
      </c>
      <c r="C6" s="96" t="s">
        <v>123</v>
      </c>
      <c r="D6" s="96" t="s">
        <v>121</v>
      </c>
      <c r="E6" s="33">
        <f>2/100</f>
        <v>0.02</v>
      </c>
      <c r="F6" s="53">
        <f t="shared" si="0"/>
        <v>1.3333333333333334E-2</v>
      </c>
      <c r="G6" s="54">
        <f>IF(D6="0 - not considered at all",0*$E6,IF(D6="1 -  planned, not implemented",1*$E6/3,IF(D6="2 - partially implemented",2*$E6/3,$E6)))</f>
        <v>0</v>
      </c>
      <c r="J6" s="137"/>
      <c r="K6" s="137"/>
      <c r="L6" s="137"/>
      <c r="N6" s="52" t="s">
        <v>124</v>
      </c>
    </row>
    <row r="7" spans="1:14" ht="17.25" customHeight="1">
      <c r="A7" s="36" t="s">
        <v>8</v>
      </c>
      <c r="B7" s="13"/>
      <c r="C7" s="140" t="s">
        <v>164</v>
      </c>
      <c r="D7" s="141"/>
      <c r="E7" s="142"/>
      <c r="F7" s="20">
        <f>SUM(F4:F6)</f>
        <v>3.8333333333333337E-2</v>
      </c>
      <c r="G7" s="20">
        <f>SUM(G4:G6)</f>
        <v>0</v>
      </c>
      <c r="H7" s="71" t="s">
        <v>192</v>
      </c>
      <c r="I7" s="70"/>
      <c r="J7" s="82"/>
      <c r="K7" s="82"/>
      <c r="L7" s="83"/>
    </row>
    <row r="8" spans="1:14">
      <c r="A8" s="35" t="s">
        <v>4</v>
      </c>
      <c r="B8" s="86" t="s">
        <v>10</v>
      </c>
      <c r="C8" s="66"/>
      <c r="D8" s="84"/>
      <c r="E8" s="93"/>
      <c r="F8" s="81"/>
      <c r="G8" s="81"/>
      <c r="I8" s="10" t="s">
        <v>4</v>
      </c>
      <c r="J8" s="132" t="s">
        <v>210</v>
      </c>
      <c r="K8" s="132"/>
      <c r="L8" s="132"/>
    </row>
    <row r="9" spans="1:14" ht="38.25">
      <c r="A9" s="36">
        <v>1</v>
      </c>
      <c r="B9" s="38" t="s">
        <v>163</v>
      </c>
      <c r="C9" s="96" t="s">
        <v>124</v>
      </c>
      <c r="D9" s="96" t="s">
        <v>121</v>
      </c>
      <c r="E9" s="33">
        <f>2*0.5/100</f>
        <v>0.01</v>
      </c>
      <c r="F9" s="53">
        <f t="shared" ref="F9:F14" si="1">IF(C9="0 - not considered at all",0*$E9,IF(C9="1 -  planned, not implemented",1*$E9/3,IF(C9="2 - partially implemented",2*$E9/3,$E9)))</f>
        <v>0.01</v>
      </c>
      <c r="G9" s="54">
        <f t="shared" ref="G9:G14" si="2">IF(D9="0 - not considered at all",0*$E9,IF(D9="1 -  planned, not implemented",1*$E9/3,IF(D9="2 - partially implemented",2*$E9/3,$E9)))</f>
        <v>0</v>
      </c>
      <c r="J9" s="133"/>
      <c r="K9" s="133"/>
      <c r="L9" s="133"/>
    </row>
    <row r="10" spans="1:14" ht="25.5">
      <c r="A10" s="36">
        <v>2</v>
      </c>
      <c r="B10" s="38" t="s">
        <v>46</v>
      </c>
      <c r="C10" s="96" t="s">
        <v>123</v>
      </c>
      <c r="D10" s="96" t="s">
        <v>121</v>
      </c>
      <c r="E10" s="33">
        <f>0.5/100</f>
        <v>5.0000000000000001E-3</v>
      </c>
      <c r="F10" s="53">
        <f t="shared" si="1"/>
        <v>3.3333333333333335E-3</v>
      </c>
      <c r="G10" s="54">
        <f t="shared" si="2"/>
        <v>0</v>
      </c>
      <c r="J10" s="133"/>
      <c r="K10" s="133"/>
      <c r="L10" s="133"/>
    </row>
    <row r="11" spans="1:14" ht="25.5">
      <c r="A11" s="36">
        <v>3</v>
      </c>
      <c r="B11" s="39" t="s">
        <v>47</v>
      </c>
      <c r="C11" s="96" t="s">
        <v>123</v>
      </c>
      <c r="D11" s="96" t="s">
        <v>121</v>
      </c>
      <c r="E11" s="33">
        <f t="shared" ref="E11:E13" si="3">2*0.5/100</f>
        <v>0.01</v>
      </c>
      <c r="F11" s="53">
        <f t="shared" si="1"/>
        <v>6.6666666666666671E-3</v>
      </c>
      <c r="G11" s="54">
        <f t="shared" si="2"/>
        <v>0</v>
      </c>
      <c r="J11" s="133"/>
      <c r="K11" s="133"/>
      <c r="L11" s="133"/>
    </row>
    <row r="12" spans="1:14" ht="25.5">
      <c r="A12" s="36">
        <v>4</v>
      </c>
      <c r="B12" s="39" t="s">
        <v>48</v>
      </c>
      <c r="C12" s="96" t="s">
        <v>123</v>
      </c>
      <c r="D12" s="96" t="s">
        <v>121</v>
      </c>
      <c r="E12" s="33">
        <f t="shared" si="3"/>
        <v>0.01</v>
      </c>
      <c r="F12" s="53">
        <f t="shared" si="1"/>
        <v>6.6666666666666671E-3</v>
      </c>
      <c r="G12" s="54">
        <f t="shared" si="2"/>
        <v>0</v>
      </c>
      <c r="J12" s="133"/>
      <c r="K12" s="133"/>
      <c r="L12" s="133"/>
    </row>
    <row r="13" spans="1:14" ht="25.5">
      <c r="A13" s="36">
        <v>5</v>
      </c>
      <c r="B13" s="39" t="s">
        <v>50</v>
      </c>
      <c r="C13" s="96" t="s">
        <v>123</v>
      </c>
      <c r="D13" s="96" t="s">
        <v>121</v>
      </c>
      <c r="E13" s="33">
        <f t="shared" si="3"/>
        <v>0.01</v>
      </c>
      <c r="F13" s="53">
        <f t="shared" si="1"/>
        <v>6.6666666666666671E-3</v>
      </c>
      <c r="G13" s="54">
        <f t="shared" si="2"/>
        <v>0</v>
      </c>
      <c r="J13" s="133"/>
      <c r="K13" s="133"/>
      <c r="L13" s="133"/>
    </row>
    <row r="14" spans="1:14" ht="38.25">
      <c r="A14" s="36">
        <v>6</v>
      </c>
      <c r="B14" s="39" t="s">
        <v>49</v>
      </c>
      <c r="C14" s="96" t="s">
        <v>124</v>
      </c>
      <c r="D14" s="96" t="s">
        <v>121</v>
      </c>
      <c r="E14" s="33">
        <f>0.5/100</f>
        <v>5.0000000000000001E-3</v>
      </c>
      <c r="F14" s="53">
        <f t="shared" si="1"/>
        <v>5.0000000000000001E-3</v>
      </c>
      <c r="G14" s="54">
        <f t="shared" si="2"/>
        <v>0</v>
      </c>
      <c r="J14" s="134"/>
      <c r="K14" s="134"/>
      <c r="L14" s="134"/>
    </row>
    <row r="15" spans="1:14">
      <c r="A15" s="36" t="s">
        <v>8</v>
      </c>
      <c r="B15" s="13"/>
      <c r="C15" s="140" t="s">
        <v>165</v>
      </c>
      <c r="D15" s="141"/>
      <c r="E15" s="142"/>
      <c r="F15" s="20">
        <f>SUM(F9:F14)</f>
        <v>3.833333333333333E-2</v>
      </c>
      <c r="G15" s="20">
        <f>SUM(G9:G14)</f>
        <v>0</v>
      </c>
      <c r="H15" s="71" t="s">
        <v>192</v>
      </c>
      <c r="I15" s="70"/>
      <c r="J15" s="82"/>
      <c r="K15" s="82"/>
      <c r="L15" s="82"/>
    </row>
    <row r="16" spans="1:14" ht="30" customHeight="1">
      <c r="A16" s="35" t="s">
        <v>5</v>
      </c>
      <c r="B16" s="86" t="s">
        <v>37</v>
      </c>
      <c r="C16" s="66"/>
      <c r="D16" s="66"/>
      <c r="E16" s="81"/>
      <c r="F16" s="81"/>
      <c r="G16" s="81"/>
      <c r="I16" s="10" t="s">
        <v>5</v>
      </c>
      <c r="J16" s="132" t="s">
        <v>211</v>
      </c>
      <c r="K16" s="132"/>
      <c r="L16" s="132"/>
    </row>
    <row r="17" spans="1:12" ht="30" customHeight="1">
      <c r="A17" s="36">
        <v>1</v>
      </c>
      <c r="B17" s="38" t="s">
        <v>53</v>
      </c>
      <c r="C17" s="96" t="s">
        <v>123</v>
      </c>
      <c r="D17" s="96" t="s">
        <v>121</v>
      </c>
      <c r="E17" s="33">
        <f>0.2*0.05</f>
        <v>1.0000000000000002E-2</v>
      </c>
      <c r="F17" s="53">
        <f t="shared" ref="F17:G24" si="4">IF(C17="0 - not considered at all",0*$E17,IF(C17="1 -  planned, not implemented",1*$E17/3,IF(C17="2 - partially implemented",2*$E17/3,$E17)))</f>
        <v>6.666666666666668E-3</v>
      </c>
      <c r="G17" s="54">
        <f t="shared" si="4"/>
        <v>0</v>
      </c>
      <c r="J17" s="133"/>
      <c r="K17" s="133"/>
      <c r="L17" s="133"/>
    </row>
    <row r="18" spans="1:12" ht="38.25">
      <c r="A18" s="36">
        <v>2</v>
      </c>
      <c r="B18" s="38" t="s">
        <v>54</v>
      </c>
      <c r="C18" s="96" t="s">
        <v>123</v>
      </c>
      <c r="D18" s="96" t="s">
        <v>121</v>
      </c>
      <c r="E18" s="33">
        <f>0.1*0.05</f>
        <v>5.000000000000001E-3</v>
      </c>
      <c r="F18" s="53">
        <f t="shared" si="4"/>
        <v>3.333333333333334E-3</v>
      </c>
      <c r="G18" s="54">
        <f t="shared" si="4"/>
        <v>0</v>
      </c>
      <c r="J18" s="133"/>
      <c r="K18" s="133"/>
      <c r="L18" s="133"/>
    </row>
    <row r="19" spans="1:12" ht="25.5">
      <c r="A19" s="36">
        <v>3</v>
      </c>
      <c r="B19" s="38" t="s">
        <v>55</v>
      </c>
      <c r="C19" s="96" t="s">
        <v>121</v>
      </c>
      <c r="D19" s="96" t="s">
        <v>121</v>
      </c>
      <c r="E19" s="33">
        <f t="shared" ref="E19:E24" si="5">0.1*0.05</f>
        <v>5.000000000000001E-3</v>
      </c>
      <c r="F19" s="53">
        <f t="shared" si="4"/>
        <v>0</v>
      </c>
      <c r="G19" s="54">
        <f t="shared" si="4"/>
        <v>0</v>
      </c>
      <c r="J19" s="133"/>
      <c r="K19" s="133"/>
      <c r="L19" s="133"/>
    </row>
    <row r="20" spans="1:12" ht="25.5">
      <c r="A20" s="36">
        <v>4</v>
      </c>
      <c r="B20" s="38" t="s">
        <v>56</v>
      </c>
      <c r="C20" s="96" t="s">
        <v>121</v>
      </c>
      <c r="D20" s="96" t="s">
        <v>121</v>
      </c>
      <c r="E20" s="33">
        <f t="shared" si="5"/>
        <v>5.000000000000001E-3</v>
      </c>
      <c r="F20" s="53">
        <f t="shared" si="4"/>
        <v>0</v>
      </c>
      <c r="G20" s="54">
        <f t="shared" si="4"/>
        <v>0</v>
      </c>
      <c r="J20" s="133"/>
      <c r="K20" s="133"/>
      <c r="L20" s="133"/>
    </row>
    <row r="21" spans="1:12" ht="25.5">
      <c r="A21" s="36">
        <v>5</v>
      </c>
      <c r="B21" s="38" t="s">
        <v>57</v>
      </c>
      <c r="C21" s="96" t="s">
        <v>124</v>
      </c>
      <c r="D21" s="96" t="s">
        <v>121</v>
      </c>
      <c r="E21" s="33">
        <f t="shared" si="5"/>
        <v>5.000000000000001E-3</v>
      </c>
      <c r="F21" s="53">
        <f t="shared" si="4"/>
        <v>5.000000000000001E-3</v>
      </c>
      <c r="G21" s="54">
        <f t="shared" si="4"/>
        <v>0</v>
      </c>
      <c r="J21" s="133"/>
      <c r="K21" s="133"/>
      <c r="L21" s="133"/>
    </row>
    <row r="22" spans="1:12" ht="25.5">
      <c r="A22" s="36">
        <v>6</v>
      </c>
      <c r="B22" s="38" t="s">
        <v>58</v>
      </c>
      <c r="C22" s="96" t="s">
        <v>124</v>
      </c>
      <c r="D22" s="96" t="s">
        <v>121</v>
      </c>
      <c r="E22" s="33">
        <f>0.2*0.05</f>
        <v>1.0000000000000002E-2</v>
      </c>
      <c r="F22" s="53">
        <f t="shared" si="4"/>
        <v>1.0000000000000002E-2</v>
      </c>
      <c r="G22" s="54">
        <f t="shared" si="4"/>
        <v>0</v>
      </c>
      <c r="J22" s="133"/>
      <c r="K22" s="133"/>
      <c r="L22" s="133"/>
    </row>
    <row r="23" spans="1:12" ht="38.25">
      <c r="A23" s="36">
        <v>7</v>
      </c>
      <c r="B23" s="38" t="s">
        <v>60</v>
      </c>
      <c r="C23" s="96" t="s">
        <v>121</v>
      </c>
      <c r="D23" s="96" t="s">
        <v>121</v>
      </c>
      <c r="E23" s="33">
        <f t="shared" si="5"/>
        <v>5.000000000000001E-3</v>
      </c>
      <c r="F23" s="53">
        <f t="shared" si="4"/>
        <v>0</v>
      </c>
      <c r="G23" s="54">
        <f t="shared" si="4"/>
        <v>0</v>
      </c>
      <c r="J23" s="133"/>
      <c r="K23" s="133"/>
      <c r="L23" s="133"/>
    </row>
    <row r="24" spans="1:12" ht="29.25" customHeight="1">
      <c r="A24" s="36">
        <v>8</v>
      </c>
      <c r="B24" s="38" t="s">
        <v>59</v>
      </c>
      <c r="C24" s="96" t="s">
        <v>123</v>
      </c>
      <c r="D24" s="96" t="s">
        <v>121</v>
      </c>
      <c r="E24" s="33">
        <f t="shared" si="5"/>
        <v>5.000000000000001E-3</v>
      </c>
      <c r="F24" s="53">
        <f>IF(C24="0 - not considered at all",0*$E24,IF(C24="1 -  planned, not implemented",1*$E24/3,IF(C24="2 - partially implemented",2*$E24/3,$E24)))</f>
        <v>3.333333333333334E-3</v>
      </c>
      <c r="G24" s="54">
        <f t="shared" si="4"/>
        <v>0</v>
      </c>
      <c r="J24" s="134"/>
      <c r="K24" s="134"/>
      <c r="L24" s="134"/>
    </row>
    <row r="25" spans="1:12">
      <c r="A25" s="36" t="s">
        <v>8</v>
      </c>
      <c r="B25" s="13"/>
      <c r="C25" s="140" t="s">
        <v>166</v>
      </c>
      <c r="D25" s="141"/>
      <c r="E25" s="142"/>
      <c r="F25" s="20">
        <f>SUM(F17:F24)</f>
        <v>2.8333333333333339E-2</v>
      </c>
      <c r="G25" s="20">
        <f>SUM(G17:G24)</f>
        <v>0</v>
      </c>
      <c r="H25" s="71" t="s">
        <v>192</v>
      </c>
      <c r="I25" s="70"/>
      <c r="J25" s="82"/>
      <c r="K25" s="82"/>
      <c r="L25" s="82"/>
    </row>
    <row r="26" spans="1:12" ht="30" customHeight="1">
      <c r="A26" s="35" t="s">
        <v>6</v>
      </c>
      <c r="B26" s="86" t="s">
        <v>38</v>
      </c>
      <c r="C26" s="66"/>
      <c r="D26" s="66"/>
      <c r="E26" s="81"/>
      <c r="F26" s="81"/>
      <c r="G26" s="81"/>
      <c r="I26" s="10" t="s">
        <v>6</v>
      </c>
      <c r="J26" s="132"/>
      <c r="K26" s="132"/>
      <c r="L26" s="132"/>
    </row>
    <row r="27" spans="1:12" ht="25.5">
      <c r="A27" s="36">
        <v>1</v>
      </c>
      <c r="B27" s="38" t="s">
        <v>67</v>
      </c>
      <c r="C27" s="96" t="s">
        <v>122</v>
      </c>
      <c r="D27" s="96" t="s">
        <v>121</v>
      </c>
      <c r="E27" s="58">
        <f>0.4*0.05</f>
        <v>2.0000000000000004E-2</v>
      </c>
      <c r="F27" s="53">
        <f>IF(C27="0 - not considered at all",0*$E27,IF(C27="1 -  planned, not implemented",1*$E27/3,IF(C27="2 - partially implemented",2*$E27/3,$E27)))</f>
        <v>6.666666666666668E-3</v>
      </c>
      <c r="G27" s="54">
        <f t="shared" ref="G27:G29" si="6">IF(D27="0 - not considered at all",0*$E27,IF(D27="1 -  planned, not implemented",1*$E27/3,IF(D27="2 - partially implemented",2*$E27/3,$E27)))</f>
        <v>0</v>
      </c>
      <c r="J27" s="133"/>
      <c r="K27" s="133"/>
      <c r="L27" s="133"/>
    </row>
    <row r="28" spans="1:12" ht="25.5">
      <c r="A28" s="36">
        <v>2</v>
      </c>
      <c r="B28" s="38" t="s">
        <v>44</v>
      </c>
      <c r="C28" s="96" t="s">
        <v>121</v>
      </c>
      <c r="D28" s="96" t="s">
        <v>121</v>
      </c>
      <c r="E28" s="58">
        <f>0.3*0.05</f>
        <v>1.4999999999999999E-2</v>
      </c>
      <c r="F28" s="53">
        <f t="shared" ref="F28:F29" si="7">IF(C28="0 - not considered at all",0*$E28,IF(C28="1 -  planned, not implemented",1*$E28/3,IF(C28="2 - partially implemented",2*$E28/3,$E28)))</f>
        <v>0</v>
      </c>
      <c r="G28" s="54">
        <f t="shared" si="6"/>
        <v>0</v>
      </c>
      <c r="J28" s="133"/>
      <c r="K28" s="133"/>
      <c r="L28" s="133"/>
    </row>
    <row r="29" spans="1:12" ht="38.25">
      <c r="A29" s="36">
        <v>3</v>
      </c>
      <c r="B29" s="39" t="s">
        <v>61</v>
      </c>
      <c r="C29" s="96" t="s">
        <v>121</v>
      </c>
      <c r="D29" s="96" t="s">
        <v>121</v>
      </c>
      <c r="E29" s="58">
        <f>0.3*0.05</f>
        <v>1.4999999999999999E-2</v>
      </c>
      <c r="F29" s="53">
        <f t="shared" si="7"/>
        <v>0</v>
      </c>
      <c r="G29" s="54">
        <f t="shared" si="6"/>
        <v>0</v>
      </c>
      <c r="J29" s="134"/>
      <c r="K29" s="134"/>
      <c r="L29" s="134"/>
    </row>
    <row r="30" spans="1:12">
      <c r="A30" s="36" t="s">
        <v>8</v>
      </c>
      <c r="B30" s="13"/>
      <c r="C30" s="140" t="s">
        <v>167</v>
      </c>
      <c r="D30" s="141"/>
      <c r="E30" s="142"/>
      <c r="F30" s="20">
        <f>SUM(F27:F29)</f>
        <v>6.666666666666668E-3</v>
      </c>
      <c r="G30" s="20">
        <f>SUM(G27:G29)</f>
        <v>0</v>
      </c>
      <c r="H30" s="71" t="s">
        <v>192</v>
      </c>
      <c r="I30" s="70"/>
      <c r="J30" s="82"/>
      <c r="K30" s="82"/>
      <c r="L30" s="82"/>
    </row>
    <row r="31" spans="1:12" ht="32.25" customHeight="1">
      <c r="A31" s="35" t="s">
        <v>7</v>
      </c>
      <c r="B31" s="86" t="s">
        <v>39</v>
      </c>
      <c r="C31" s="66"/>
      <c r="D31" s="66"/>
      <c r="E31" s="81"/>
      <c r="F31" s="81"/>
      <c r="G31" s="81"/>
      <c r="I31" s="10" t="s">
        <v>7</v>
      </c>
      <c r="J31" s="132" t="s">
        <v>209</v>
      </c>
      <c r="K31" s="132"/>
      <c r="L31" s="132"/>
    </row>
    <row r="32" spans="1:12" ht="38.25">
      <c r="A32" s="36">
        <v>1</v>
      </c>
      <c r="B32" s="38" t="s">
        <v>62</v>
      </c>
      <c r="C32" s="96" t="s">
        <v>122</v>
      </c>
      <c r="D32" s="96" t="s">
        <v>121</v>
      </c>
      <c r="E32" s="33">
        <f>0.2*0.05</f>
        <v>1.0000000000000002E-2</v>
      </c>
      <c r="F32" s="53">
        <f t="shared" ref="F32:F36" si="8">IF(C32="0 - not considered at all",0*$E32,IF(C32="1 -  planned, not implemented",1*$E32/3,IF(C32="2 - partially implemented",2*$E32/3,$E32)))</f>
        <v>3.333333333333334E-3</v>
      </c>
      <c r="G32" s="54">
        <f t="shared" ref="G32:G36" si="9">IF(D32="0 - not considered at all",0*$E32,IF(D32="1 -  planned, not implemented",1*$E32/3,IF(D32="2 - partially implemented",2*$E32/3,$E32)))</f>
        <v>0</v>
      </c>
      <c r="J32" s="133"/>
      <c r="K32" s="133"/>
      <c r="L32" s="133"/>
    </row>
    <row r="33" spans="1:12" ht="30" customHeight="1">
      <c r="A33" s="36">
        <v>2</v>
      </c>
      <c r="B33" s="38" t="s">
        <v>98</v>
      </c>
      <c r="C33" s="96" t="s">
        <v>123</v>
      </c>
      <c r="D33" s="96" t="s">
        <v>121</v>
      </c>
      <c r="E33" s="33">
        <f>0.2*0.05</f>
        <v>1.0000000000000002E-2</v>
      </c>
      <c r="F33" s="53">
        <f t="shared" si="8"/>
        <v>6.666666666666668E-3</v>
      </c>
      <c r="G33" s="54">
        <f t="shared" si="9"/>
        <v>0</v>
      </c>
      <c r="J33" s="133"/>
      <c r="K33" s="133"/>
      <c r="L33" s="133"/>
    </row>
    <row r="34" spans="1:12" ht="27.75" customHeight="1">
      <c r="A34" s="36">
        <v>3</v>
      </c>
      <c r="B34" s="38" t="s">
        <v>99</v>
      </c>
      <c r="C34" s="96" t="s">
        <v>122</v>
      </c>
      <c r="D34" s="96" t="s">
        <v>121</v>
      </c>
      <c r="E34" s="33">
        <f>0.1*0.05</f>
        <v>5.000000000000001E-3</v>
      </c>
      <c r="F34" s="53">
        <f t="shared" si="8"/>
        <v>1.666666666666667E-3</v>
      </c>
      <c r="G34" s="54">
        <f t="shared" si="9"/>
        <v>0</v>
      </c>
      <c r="J34" s="133"/>
      <c r="K34" s="133"/>
      <c r="L34" s="133"/>
    </row>
    <row r="35" spans="1:12" ht="27.75" customHeight="1">
      <c r="A35" s="36">
        <v>4</v>
      </c>
      <c r="B35" s="38" t="s">
        <v>51</v>
      </c>
      <c r="C35" s="96" t="s">
        <v>122</v>
      </c>
      <c r="D35" s="96" t="s">
        <v>121</v>
      </c>
      <c r="E35" s="33">
        <f>0.3*0.05</f>
        <v>1.4999999999999999E-2</v>
      </c>
      <c r="F35" s="53">
        <f t="shared" si="8"/>
        <v>5.0000000000000001E-3</v>
      </c>
      <c r="G35" s="54">
        <f t="shared" si="9"/>
        <v>0</v>
      </c>
      <c r="J35" s="133"/>
      <c r="K35" s="133"/>
      <c r="L35" s="133"/>
    </row>
    <row r="36" spans="1:12" ht="25.5">
      <c r="A36" s="36">
        <v>5</v>
      </c>
      <c r="B36" s="38" t="s">
        <v>52</v>
      </c>
      <c r="C36" s="96" t="s">
        <v>122</v>
      </c>
      <c r="D36" s="96" t="s">
        <v>121</v>
      </c>
      <c r="E36" s="33">
        <f>0.2*0.05</f>
        <v>1.0000000000000002E-2</v>
      </c>
      <c r="F36" s="53">
        <f t="shared" si="8"/>
        <v>3.333333333333334E-3</v>
      </c>
      <c r="G36" s="54">
        <f t="shared" si="9"/>
        <v>0</v>
      </c>
      <c r="J36" s="134"/>
      <c r="K36" s="134"/>
      <c r="L36" s="134"/>
    </row>
    <row r="37" spans="1:12">
      <c r="A37" s="36" t="s">
        <v>8</v>
      </c>
      <c r="B37" s="13"/>
      <c r="C37" s="140" t="s">
        <v>168</v>
      </c>
      <c r="D37" s="141"/>
      <c r="E37" s="142"/>
      <c r="F37" s="20">
        <f>SUM(F32:F36)</f>
        <v>2.0000000000000004E-2</v>
      </c>
      <c r="G37" s="20">
        <f>SUM(G32:G36)</f>
        <v>0</v>
      </c>
      <c r="H37" s="71" t="s">
        <v>192</v>
      </c>
      <c r="I37" s="70"/>
      <c r="J37" s="82"/>
      <c r="K37" s="82"/>
      <c r="L37" s="82"/>
    </row>
    <row r="38" spans="1:12" ht="26.25" customHeight="1">
      <c r="A38" s="35" t="s">
        <v>40</v>
      </c>
      <c r="B38" s="92" t="s">
        <v>11</v>
      </c>
      <c r="C38" s="66"/>
      <c r="D38" s="66"/>
      <c r="E38" s="81"/>
      <c r="F38" s="81"/>
      <c r="G38" s="81"/>
      <c r="I38" s="10" t="s">
        <v>40</v>
      </c>
      <c r="J38" s="132" t="s">
        <v>212</v>
      </c>
      <c r="K38" s="132"/>
      <c r="L38" s="132"/>
    </row>
    <row r="39" spans="1:12" ht="38.25">
      <c r="A39" s="36">
        <v>1</v>
      </c>
      <c r="B39" s="38" t="s">
        <v>63</v>
      </c>
      <c r="C39" s="96" t="s">
        <v>124</v>
      </c>
      <c r="D39" s="96" t="s">
        <v>121</v>
      </c>
      <c r="E39" s="33">
        <f>0.3*0.05</f>
        <v>1.4999999999999999E-2</v>
      </c>
      <c r="F39" s="53">
        <f t="shared" ref="F39:F42" si="10">IF(C39="0 - not considered at all",0*$E39,IF(C39="1 -  planned, not implemented",1*$E39/3,IF(C39="2 - partially implemented",2*$E39/3,$E39)))</f>
        <v>1.4999999999999999E-2</v>
      </c>
      <c r="G39" s="54">
        <f t="shared" ref="G39:G42" si="11">IF(D39="0 - not considered at all",0*$E39,IF(D39="1 -  planned, not implemented",1*$E39/3,IF(D39="2 - partially implemented",2*$E39/3,$E39)))</f>
        <v>0</v>
      </c>
      <c r="J39" s="133"/>
      <c r="K39" s="133"/>
      <c r="L39" s="133"/>
    </row>
    <row r="40" spans="1:12" ht="38.25">
      <c r="A40" s="36">
        <v>2</v>
      </c>
      <c r="B40" s="38" t="s">
        <v>64</v>
      </c>
      <c r="C40" s="96" t="s">
        <v>124</v>
      </c>
      <c r="D40" s="96" t="s">
        <v>121</v>
      </c>
      <c r="E40" s="33">
        <f t="shared" ref="E40:E41" si="12">0.2*0.05</f>
        <v>1.0000000000000002E-2</v>
      </c>
      <c r="F40" s="53">
        <f t="shared" si="10"/>
        <v>1.0000000000000002E-2</v>
      </c>
      <c r="G40" s="54">
        <f t="shared" si="11"/>
        <v>0</v>
      </c>
      <c r="J40" s="133"/>
      <c r="K40" s="133"/>
      <c r="L40" s="133"/>
    </row>
    <row r="41" spans="1:12" ht="44.25" customHeight="1">
      <c r="A41" s="36">
        <v>3</v>
      </c>
      <c r="B41" s="38" t="s">
        <v>68</v>
      </c>
      <c r="C41" s="96" t="s">
        <v>121</v>
      </c>
      <c r="D41" s="96" t="s">
        <v>121</v>
      </c>
      <c r="E41" s="33">
        <f t="shared" si="12"/>
        <v>1.0000000000000002E-2</v>
      </c>
      <c r="F41" s="53">
        <f t="shared" si="10"/>
        <v>0</v>
      </c>
      <c r="G41" s="54">
        <f t="shared" si="11"/>
        <v>0</v>
      </c>
      <c r="J41" s="133"/>
      <c r="K41" s="133"/>
      <c r="L41" s="133"/>
    </row>
    <row r="42" spans="1:12" ht="63.75">
      <c r="A42" s="36">
        <v>4</v>
      </c>
      <c r="B42" s="38" t="s">
        <v>65</v>
      </c>
      <c r="C42" s="96" t="s">
        <v>122</v>
      </c>
      <c r="D42" s="96" t="s">
        <v>121</v>
      </c>
      <c r="E42" s="33">
        <f>0.3*0.05</f>
        <v>1.4999999999999999E-2</v>
      </c>
      <c r="F42" s="53">
        <f t="shared" si="10"/>
        <v>5.0000000000000001E-3</v>
      </c>
      <c r="G42" s="54">
        <f t="shared" si="11"/>
        <v>0</v>
      </c>
      <c r="J42" s="134"/>
      <c r="K42" s="134"/>
      <c r="L42" s="134"/>
    </row>
    <row r="43" spans="1:12" ht="15.75" thickBot="1">
      <c r="A43" s="36" t="s">
        <v>8</v>
      </c>
      <c r="B43" s="13"/>
      <c r="C43" s="140" t="s">
        <v>169</v>
      </c>
      <c r="D43" s="141"/>
      <c r="E43" s="142"/>
      <c r="F43" s="20">
        <f>SUM(F39:F42)</f>
        <v>3.0000000000000002E-2</v>
      </c>
      <c r="G43" s="20">
        <f>SUM(G39:G42)</f>
        <v>0</v>
      </c>
      <c r="H43" s="71" t="s">
        <v>192</v>
      </c>
      <c r="I43" s="71"/>
    </row>
    <row r="44" spans="1:12" ht="15.75" thickBot="1">
      <c r="C44" s="143" t="s">
        <v>170</v>
      </c>
      <c r="D44" s="143"/>
      <c r="F44" s="72">
        <f>SUM(F7,F15,F25,F30,F37,F43)</f>
        <v>0.16166666666666665</v>
      </c>
      <c r="G44" s="85">
        <f>SUM(G7,G15,G25,G30,G37,G43)</f>
        <v>0</v>
      </c>
      <c r="H44" s="34"/>
    </row>
    <row r="45" spans="1:12">
      <c r="C45" s="144" t="s">
        <v>181</v>
      </c>
      <c r="D45" s="144"/>
      <c r="E45" s="43"/>
      <c r="F45" s="51">
        <v>30</v>
      </c>
      <c r="G45" s="44"/>
      <c r="H45" s="16"/>
    </row>
    <row r="47" spans="1:12" customFormat="1" ht="32.25" customHeight="1">
      <c r="A47" s="138" t="s">
        <v>153</v>
      </c>
      <c r="B47" s="138"/>
      <c r="C47" s="46"/>
      <c r="D47" s="139" t="s">
        <v>154</v>
      </c>
      <c r="E47" s="139"/>
      <c r="F47" s="139"/>
      <c r="G47" s="139"/>
      <c r="H47" s="139"/>
      <c r="I47" s="139"/>
      <c r="J47" s="139"/>
      <c r="K47" s="47"/>
      <c r="L47" s="46"/>
    </row>
  </sheetData>
  <sheetProtection password="C7FA" sheet="1" objects="1" scenarios="1" formatRows="0"/>
  <mergeCells count="28">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 ref="L26:L29"/>
    <mergeCell ref="L31:L36"/>
    <mergeCell ref="L38:L42"/>
    <mergeCell ref="J3:J6"/>
    <mergeCell ref="K3:K6"/>
    <mergeCell ref="K8:K14"/>
    <mergeCell ref="K16:K24"/>
    <mergeCell ref="L3:L6"/>
    <mergeCell ref="L8:L14"/>
    <mergeCell ref="L16:L24"/>
    <mergeCell ref="K26:K29"/>
    <mergeCell ref="K31:K36"/>
    <mergeCell ref="K38:K42"/>
  </mergeCells>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7.7109375" style="11" hidden="1" customWidth="1"/>
    <col min="5" max="5" width="7.140625" style="11" hidden="1" customWidth="1"/>
    <col min="6" max="6" width="7.85546875" style="11" customWidth="1"/>
    <col min="7" max="7" width="8.5703125" style="11" hidden="1" customWidth="1"/>
    <col min="8" max="8" width="7.5703125" style="10" customWidth="1"/>
    <col min="9" max="9" width="3.5703125" style="10" customWidth="1"/>
    <col min="10" max="10" width="38.7109375" style="10" customWidth="1"/>
    <col min="11" max="11" width="24.140625" style="10" customWidth="1"/>
    <col min="12" max="12" width="0.42578125" style="10" hidden="1" customWidth="1"/>
    <col min="13" max="13" width="35.42578125" style="10" hidden="1" customWidth="1"/>
    <col min="14" max="14" width="3" style="10" bestFit="1" customWidth="1"/>
    <col min="15" max="16384" width="34.5703125" style="10"/>
  </cols>
  <sheetData>
    <row r="1" spans="1:13" s="18" customFormat="1">
      <c r="A1" s="31" t="s">
        <v>101</v>
      </c>
      <c r="B1" s="17"/>
      <c r="D1" s="19"/>
      <c r="E1" s="19"/>
      <c r="F1" s="19"/>
      <c r="G1" s="19"/>
    </row>
    <row r="2" spans="1:13" ht="79.5" customHeight="1">
      <c r="A2" s="60" t="s">
        <v>75</v>
      </c>
      <c r="B2" s="61" t="s">
        <v>162</v>
      </c>
      <c r="C2" s="62" t="s">
        <v>118</v>
      </c>
      <c r="D2" s="63" t="s">
        <v>156</v>
      </c>
      <c r="E2" s="74" t="s">
        <v>9</v>
      </c>
      <c r="F2" s="74" t="s">
        <v>12</v>
      </c>
      <c r="G2" s="65" t="s">
        <v>157</v>
      </c>
      <c r="H2" s="66"/>
      <c r="I2" s="66"/>
      <c r="J2" s="67" t="s">
        <v>130</v>
      </c>
      <c r="K2" s="68" t="s">
        <v>120</v>
      </c>
      <c r="L2" s="66"/>
      <c r="M2" s="75" t="s">
        <v>176</v>
      </c>
    </row>
    <row r="3" spans="1:13">
      <c r="A3" s="59" t="s">
        <v>16</v>
      </c>
      <c r="B3" s="80" t="s">
        <v>76</v>
      </c>
      <c r="C3" s="66"/>
      <c r="D3" s="81"/>
      <c r="E3" s="81"/>
      <c r="F3" s="81"/>
      <c r="G3" s="81"/>
      <c r="I3" s="10" t="s">
        <v>16</v>
      </c>
      <c r="J3" s="132" t="s">
        <v>214</v>
      </c>
      <c r="K3" s="132"/>
      <c r="L3" s="95"/>
      <c r="M3" s="132"/>
    </row>
    <row r="4" spans="1:13" ht="27.75" customHeight="1">
      <c r="A4" s="36">
        <v>1</v>
      </c>
      <c r="B4" s="38" t="s">
        <v>102</v>
      </c>
      <c r="C4" s="96" t="s">
        <v>124</v>
      </c>
      <c r="D4" s="96" t="s">
        <v>121</v>
      </c>
      <c r="E4" s="33">
        <f>0.3*0.045</f>
        <v>1.35E-2</v>
      </c>
      <c r="F4" s="53">
        <f>IF(C4="0 - not considered at all",0*$E4,IF(C4="1 -  planned, not implemented",1*$E4/3,IF(C4="2 - partially implemented",2*$E4/3,$E4)))</f>
        <v>1.35E-2</v>
      </c>
      <c r="G4" s="54">
        <f>IF(D4="0 - not considered at all",0*$E4,IF(D4="1 -  planned, not implemented",1*$E4/3,IF(D4="2 - partially implemented",2*$E4/3,$E4)))</f>
        <v>0</v>
      </c>
      <c r="J4" s="133"/>
      <c r="K4" s="133"/>
      <c r="L4" s="97" t="s">
        <v>121</v>
      </c>
      <c r="M4" s="133"/>
    </row>
    <row r="5" spans="1:13" ht="25.5" customHeight="1">
      <c r="A5" s="36">
        <v>2</v>
      </c>
      <c r="B5" s="38" t="s">
        <v>103</v>
      </c>
      <c r="C5" s="96" t="s">
        <v>124</v>
      </c>
      <c r="D5" s="96" t="s">
        <v>121</v>
      </c>
      <c r="E5" s="33">
        <f>0.5*0.045</f>
        <v>2.2499999999999999E-2</v>
      </c>
      <c r="F5" s="53">
        <f t="shared" ref="F5:F6" si="0">IF(C5="0 - not considered at all",0*$E5,IF(C5="1 -  planned, not implemented",1*$E5/3,IF(C5="2 - partially implemented",2*$E5/3,$E5)))</f>
        <v>2.2499999999999999E-2</v>
      </c>
      <c r="G5" s="54">
        <f t="shared" ref="G5:G6" si="1">IF(D5="0 - not considered at all",0*$E5,IF(D5="1 -  planned, not implemented",1*$E5/3,IF(D5="2 - partially implemented",2*$E5/3,$E5)))</f>
        <v>0</v>
      </c>
      <c r="J5" s="133"/>
      <c r="K5" s="133"/>
      <c r="L5" s="97" t="s">
        <v>122</v>
      </c>
      <c r="M5" s="133"/>
    </row>
    <row r="6" spans="1:13" ht="26.25" customHeight="1">
      <c r="A6" s="36">
        <v>3</v>
      </c>
      <c r="B6" s="39" t="s">
        <v>104</v>
      </c>
      <c r="C6" s="96" t="s">
        <v>124</v>
      </c>
      <c r="D6" s="96" t="s">
        <v>121</v>
      </c>
      <c r="E6" s="33">
        <f>0.2*0.045</f>
        <v>8.9999999999999993E-3</v>
      </c>
      <c r="F6" s="53">
        <f t="shared" si="0"/>
        <v>8.9999999999999993E-3</v>
      </c>
      <c r="G6" s="54">
        <f t="shared" si="1"/>
        <v>0</v>
      </c>
      <c r="J6" s="134"/>
      <c r="K6" s="134"/>
      <c r="L6" s="97" t="s">
        <v>123</v>
      </c>
      <c r="M6" s="134"/>
    </row>
    <row r="7" spans="1:13" ht="17.25" customHeight="1">
      <c r="A7" s="36" t="s">
        <v>8</v>
      </c>
      <c r="B7" s="13"/>
      <c r="C7" s="140" t="s">
        <v>172</v>
      </c>
      <c r="D7" s="141"/>
      <c r="E7" s="73"/>
      <c r="F7" s="20">
        <f>SUM(F4:F6)</f>
        <v>4.4999999999999998E-2</v>
      </c>
      <c r="G7" s="20">
        <f>SUM(G4:G6)</f>
        <v>0</v>
      </c>
      <c r="H7" s="69" t="s">
        <v>193</v>
      </c>
      <c r="I7" s="94"/>
      <c r="J7" s="82"/>
      <c r="K7" s="82"/>
      <c r="L7" s="98" t="s">
        <v>124</v>
      </c>
      <c r="M7" s="82"/>
    </row>
    <row r="8" spans="1:13">
      <c r="A8" s="35" t="s">
        <v>20</v>
      </c>
      <c r="B8" s="86" t="s">
        <v>17</v>
      </c>
      <c r="C8" s="66"/>
      <c r="D8" s="81"/>
      <c r="E8" s="81"/>
      <c r="F8" s="81"/>
      <c r="G8" s="48"/>
      <c r="I8" s="10" t="s">
        <v>20</v>
      </c>
      <c r="J8" s="132" t="s">
        <v>215</v>
      </c>
      <c r="K8" s="132"/>
      <c r="L8" s="95"/>
      <c r="M8" s="132"/>
    </row>
    <row r="9" spans="1:13" ht="51">
      <c r="A9" s="36">
        <v>1</v>
      </c>
      <c r="B9" s="38" t="s">
        <v>105</v>
      </c>
      <c r="C9" s="96" t="s">
        <v>124</v>
      </c>
      <c r="D9" s="96" t="s">
        <v>121</v>
      </c>
      <c r="E9" s="33">
        <f>0.3*0.075</f>
        <v>2.2499999999999999E-2</v>
      </c>
      <c r="F9" s="53">
        <f t="shared" ref="F9:F12" si="2">IF(C9="0 - not considered at all",0*$E9,IF(C9="1 -  planned, not implemented",1*$E9/3,IF(C9="2 - partially implemented",2*$E9/3,$E9)))</f>
        <v>2.2499999999999999E-2</v>
      </c>
      <c r="G9" s="54">
        <f t="shared" ref="G9:G12" si="3">IF(D9="0 - not considered at all",0*$E9,IF(D9="1 -  planned, not implemented",1*$E9/3,IF(D9="2 - partially implemented",2*$E9/3,$E9)))</f>
        <v>0</v>
      </c>
      <c r="J9" s="133"/>
      <c r="K9" s="133"/>
      <c r="L9" s="95"/>
      <c r="M9" s="133"/>
    </row>
    <row r="10" spans="1:13" ht="25.5">
      <c r="A10" s="36">
        <v>2</v>
      </c>
      <c r="B10" s="38" t="s">
        <v>106</v>
      </c>
      <c r="C10" s="96" t="s">
        <v>121</v>
      </c>
      <c r="D10" s="96" t="s">
        <v>121</v>
      </c>
      <c r="E10" s="33">
        <f>0.4*0.075</f>
        <v>0.03</v>
      </c>
      <c r="F10" s="53">
        <f t="shared" si="2"/>
        <v>0</v>
      </c>
      <c r="G10" s="54">
        <f t="shared" si="3"/>
        <v>0</v>
      </c>
      <c r="J10" s="133"/>
      <c r="K10" s="133"/>
      <c r="L10" s="95"/>
      <c r="M10" s="133"/>
    </row>
    <row r="11" spans="1:13" ht="39" customHeight="1">
      <c r="A11" s="36">
        <v>3</v>
      </c>
      <c r="B11" s="39" t="s">
        <v>107</v>
      </c>
      <c r="C11" s="96" t="s">
        <v>121</v>
      </c>
      <c r="D11" s="96" t="s">
        <v>121</v>
      </c>
      <c r="E11" s="33">
        <f>0.2*0.075</f>
        <v>1.4999999999999999E-2</v>
      </c>
      <c r="F11" s="53">
        <f t="shared" si="2"/>
        <v>0</v>
      </c>
      <c r="G11" s="54">
        <f t="shared" si="3"/>
        <v>0</v>
      </c>
      <c r="J11" s="133"/>
      <c r="K11" s="133"/>
      <c r="L11" s="95"/>
      <c r="M11" s="133"/>
    </row>
    <row r="12" spans="1:13" ht="25.5">
      <c r="A12" s="36">
        <v>4</v>
      </c>
      <c r="B12" s="39" t="s">
        <v>127</v>
      </c>
      <c r="C12" s="96" t="s">
        <v>124</v>
      </c>
      <c r="D12" s="96" t="s">
        <v>121</v>
      </c>
      <c r="E12" s="33">
        <f>0.1*0.075</f>
        <v>7.4999999999999997E-3</v>
      </c>
      <c r="F12" s="53">
        <f t="shared" si="2"/>
        <v>7.4999999999999997E-3</v>
      </c>
      <c r="G12" s="54">
        <f t="shared" si="3"/>
        <v>0</v>
      </c>
      <c r="J12" s="134"/>
      <c r="K12" s="134"/>
      <c r="L12" s="95"/>
      <c r="M12" s="134"/>
    </row>
    <row r="13" spans="1:13">
      <c r="A13" s="36" t="s">
        <v>8</v>
      </c>
      <c r="B13" s="13"/>
      <c r="C13" s="140" t="s">
        <v>173</v>
      </c>
      <c r="D13" s="141"/>
      <c r="E13" s="73"/>
      <c r="F13" s="20">
        <f>SUM(F9:F12)</f>
        <v>0.03</v>
      </c>
      <c r="G13" s="20">
        <f>SUM(G9:G12)</f>
        <v>0</v>
      </c>
      <c r="H13" s="69" t="s">
        <v>194</v>
      </c>
      <c r="I13" s="94"/>
      <c r="J13" s="82"/>
      <c r="K13" s="82"/>
      <c r="L13" s="82"/>
      <c r="M13" s="82"/>
    </row>
    <row r="14" spans="1:13" ht="30">
      <c r="A14" s="35" t="s">
        <v>21</v>
      </c>
      <c r="B14" s="86" t="s">
        <v>108</v>
      </c>
      <c r="C14" s="66"/>
      <c r="D14" s="81"/>
      <c r="E14" s="81"/>
      <c r="F14" s="81"/>
      <c r="G14" s="48"/>
      <c r="I14" s="10" t="s">
        <v>21</v>
      </c>
      <c r="J14" s="132" t="s">
        <v>216</v>
      </c>
      <c r="K14" s="132"/>
      <c r="L14" s="95"/>
      <c r="M14" s="132"/>
    </row>
    <row r="15" spans="1:13" ht="42" customHeight="1">
      <c r="A15" s="36">
        <v>1</v>
      </c>
      <c r="B15" s="38" t="s">
        <v>109</v>
      </c>
      <c r="C15" s="96" t="s">
        <v>121</v>
      </c>
      <c r="D15" s="96" t="s">
        <v>121</v>
      </c>
      <c r="E15" s="33">
        <f>0.4*0.06</f>
        <v>2.4E-2</v>
      </c>
      <c r="F15" s="53">
        <f t="shared" ref="F15:F17" si="4">IF(C15="0 - not considered at all",0*$E15,IF(C15="1 -  planned, not implemented",1*$E15/3,IF(C15="2 - partially implemented",2*$E15/3,$E15)))</f>
        <v>0</v>
      </c>
      <c r="G15" s="54">
        <f t="shared" ref="G15:G17" si="5">IF(D15="0 - not considered at all",0*$E15,IF(D15="1 -  planned, not implemented",1*$E15/3,IF(D15="2 - partially implemented",2*$E15/3,$E15)))</f>
        <v>0</v>
      </c>
      <c r="J15" s="133"/>
      <c r="K15" s="133"/>
      <c r="L15" s="95"/>
      <c r="M15" s="133"/>
    </row>
    <row r="16" spans="1:13" ht="28.5" customHeight="1">
      <c r="A16" s="36">
        <v>2</v>
      </c>
      <c r="B16" s="38" t="s">
        <v>18</v>
      </c>
      <c r="C16" s="96" t="s">
        <v>121</v>
      </c>
      <c r="D16" s="96" t="s">
        <v>121</v>
      </c>
      <c r="E16" s="33">
        <f>0.25*0.06</f>
        <v>1.4999999999999999E-2</v>
      </c>
      <c r="F16" s="53">
        <f t="shared" si="4"/>
        <v>0</v>
      </c>
      <c r="G16" s="54">
        <f t="shared" si="5"/>
        <v>0</v>
      </c>
      <c r="J16" s="133"/>
      <c r="K16" s="133"/>
      <c r="L16" s="95"/>
      <c r="M16" s="133"/>
    </row>
    <row r="17" spans="1:13" ht="51">
      <c r="A17" s="36">
        <v>3</v>
      </c>
      <c r="B17" s="38" t="s">
        <v>128</v>
      </c>
      <c r="C17" s="96" t="s">
        <v>122</v>
      </c>
      <c r="D17" s="96" t="s">
        <v>121</v>
      </c>
      <c r="E17" s="33">
        <f>0.35*0.06</f>
        <v>2.0999999999999998E-2</v>
      </c>
      <c r="F17" s="53">
        <f t="shared" si="4"/>
        <v>6.9999999999999993E-3</v>
      </c>
      <c r="G17" s="54">
        <f t="shared" si="5"/>
        <v>0</v>
      </c>
      <c r="J17" s="134"/>
      <c r="K17" s="134"/>
      <c r="L17" s="95"/>
      <c r="M17" s="134"/>
    </row>
    <row r="18" spans="1:13">
      <c r="A18" s="36" t="s">
        <v>8</v>
      </c>
      <c r="B18" s="13"/>
      <c r="C18" s="140" t="s">
        <v>174</v>
      </c>
      <c r="D18" s="141"/>
      <c r="E18" s="73"/>
      <c r="F18" s="20">
        <f>SUM(F15:F17)</f>
        <v>6.9999999999999993E-3</v>
      </c>
      <c r="G18" s="20">
        <f>SUM(G15:G17)</f>
        <v>0</v>
      </c>
      <c r="H18" s="69" t="s">
        <v>195</v>
      </c>
      <c r="I18" s="71"/>
      <c r="J18" s="82"/>
      <c r="K18" s="82"/>
      <c r="L18" s="82"/>
      <c r="M18" s="82"/>
    </row>
    <row r="19" spans="1:13" ht="25.5">
      <c r="A19" s="35" t="s">
        <v>22</v>
      </c>
      <c r="B19" s="40" t="s">
        <v>19</v>
      </c>
      <c r="C19" s="36"/>
      <c r="D19" s="12"/>
      <c r="E19" s="12"/>
      <c r="F19" s="12"/>
      <c r="G19" s="48"/>
      <c r="I19" s="10" t="s">
        <v>22</v>
      </c>
      <c r="J19" s="132" t="s">
        <v>217</v>
      </c>
      <c r="K19" s="145"/>
      <c r="L19" s="99"/>
      <c r="M19" s="145"/>
    </row>
    <row r="20" spans="1:13" ht="51">
      <c r="A20" s="36">
        <v>1</v>
      </c>
      <c r="B20" s="38" t="s">
        <v>110</v>
      </c>
      <c r="C20" s="96" t="s">
        <v>123</v>
      </c>
      <c r="D20" s="96" t="s">
        <v>121</v>
      </c>
      <c r="E20" s="33">
        <f>0.5*0.06</f>
        <v>0.03</v>
      </c>
      <c r="F20" s="53">
        <f t="shared" ref="F20:F21" si="6">IF(C20="0 - not considered at all",0*$E20,IF(C20="1 -  planned, not implemented",1*$E20/3,IF(C20="2 - partially implemented",2*$E20/3,$E20)))</f>
        <v>0.02</v>
      </c>
      <c r="G20" s="54">
        <f t="shared" ref="G20:G21" si="7">IF(D20="0 - not considered at all",0*$E20,IF(D20="1 -  planned, not implemented",1*$E20/3,IF(D20="2 - partially implemented",2*$E20/3,$E20)))</f>
        <v>0</v>
      </c>
      <c r="J20" s="133"/>
      <c r="K20" s="145"/>
      <c r="L20" s="99"/>
      <c r="M20" s="145"/>
    </row>
    <row r="21" spans="1:13" ht="25.5">
      <c r="A21" s="36">
        <v>2</v>
      </c>
      <c r="B21" s="38" t="s">
        <v>129</v>
      </c>
      <c r="C21" s="96" t="s">
        <v>123</v>
      </c>
      <c r="D21" s="96" t="s">
        <v>121</v>
      </c>
      <c r="E21" s="33">
        <f>0.5*0.06</f>
        <v>0.03</v>
      </c>
      <c r="F21" s="53">
        <f t="shared" si="6"/>
        <v>0.02</v>
      </c>
      <c r="G21" s="54">
        <f t="shared" si="7"/>
        <v>0</v>
      </c>
      <c r="J21" s="134"/>
      <c r="K21" s="145"/>
      <c r="L21" s="99"/>
      <c r="M21" s="145"/>
    </row>
    <row r="22" spans="1:13">
      <c r="A22" s="36" t="s">
        <v>8</v>
      </c>
      <c r="B22" s="13"/>
      <c r="C22" s="140" t="s">
        <v>182</v>
      </c>
      <c r="D22" s="141"/>
      <c r="E22" s="142"/>
      <c r="F22" s="20">
        <f>SUM(F20:F21)</f>
        <v>0.04</v>
      </c>
      <c r="G22" s="20">
        <f>SUM(G19:G21)</f>
        <v>0</v>
      </c>
      <c r="H22" s="69" t="s">
        <v>195</v>
      </c>
      <c r="I22" s="71"/>
      <c r="J22" s="82"/>
      <c r="K22" s="82"/>
      <c r="L22" s="82"/>
      <c r="M22" s="82"/>
    </row>
    <row r="23" spans="1:13">
      <c r="A23" s="35" t="s">
        <v>23</v>
      </c>
      <c r="B23" s="92" t="s">
        <v>77</v>
      </c>
      <c r="C23" s="66"/>
      <c r="D23" s="81"/>
      <c r="E23" s="81"/>
      <c r="F23" s="81"/>
      <c r="G23" s="81"/>
      <c r="I23" s="10" t="s">
        <v>23</v>
      </c>
      <c r="J23" s="145" t="s">
        <v>218</v>
      </c>
      <c r="K23" s="145"/>
      <c r="L23" s="99"/>
      <c r="M23" s="145"/>
    </row>
    <row r="24" spans="1:13" ht="25.5">
      <c r="A24" s="36">
        <v>1</v>
      </c>
      <c r="B24" s="38" t="s">
        <v>24</v>
      </c>
      <c r="C24" s="96" t="s">
        <v>123</v>
      </c>
      <c r="D24" s="96" t="s">
        <v>121</v>
      </c>
      <c r="E24" s="33">
        <f>0.6*0.03</f>
        <v>1.7999999999999999E-2</v>
      </c>
      <c r="F24" s="53">
        <f t="shared" ref="F24:F25" si="8">IF(C24="0 - not considered at all",0*$E24,IF(C24="1 -  planned, not implemented",1*$E24/3,IF(C24="2 - partially implemented",2*$E24/3,$E24)))</f>
        <v>1.1999999999999999E-2</v>
      </c>
      <c r="G24" s="54">
        <f t="shared" ref="G24:G25" si="9">IF(D24="0 - not considered at all",0*$E24,IF(D24="1 -  planned, not implemented",1*$E24/3,IF(D24="2 - partially implemented",2*$E24/3,$E24)))</f>
        <v>0</v>
      </c>
      <c r="J24" s="145"/>
      <c r="K24" s="145"/>
      <c r="L24" s="99"/>
      <c r="M24" s="145"/>
    </row>
    <row r="25" spans="1:13" ht="25.5">
      <c r="A25" s="36">
        <v>2</v>
      </c>
      <c r="B25" s="38" t="s">
        <v>111</v>
      </c>
      <c r="C25" s="96" t="s">
        <v>122</v>
      </c>
      <c r="D25" s="96" t="s">
        <v>121</v>
      </c>
      <c r="E25" s="33">
        <f>0.4*0.03</f>
        <v>1.2E-2</v>
      </c>
      <c r="F25" s="53">
        <f t="shared" si="8"/>
        <v>4.0000000000000001E-3</v>
      </c>
      <c r="G25" s="54">
        <f t="shared" si="9"/>
        <v>0</v>
      </c>
      <c r="J25" s="145"/>
      <c r="K25" s="145"/>
      <c r="L25" s="99"/>
      <c r="M25" s="145"/>
    </row>
    <row r="26" spans="1:13">
      <c r="A26" s="36" t="s">
        <v>8</v>
      </c>
      <c r="B26" s="13"/>
      <c r="C26" s="140" t="s">
        <v>183</v>
      </c>
      <c r="D26" s="141"/>
      <c r="E26" s="142"/>
      <c r="F26" s="20">
        <f>SUM(F24:F25)</f>
        <v>1.6E-2</v>
      </c>
      <c r="G26" s="20">
        <f>SUM(G23:G25)</f>
        <v>0</v>
      </c>
      <c r="H26" s="69" t="s">
        <v>196</v>
      </c>
      <c r="I26" s="71"/>
      <c r="J26" s="100"/>
      <c r="K26" s="100"/>
      <c r="L26" s="100"/>
      <c r="M26" s="100"/>
    </row>
    <row r="27" spans="1:13" ht="30">
      <c r="A27" s="35" t="s">
        <v>25</v>
      </c>
      <c r="B27" s="86" t="s">
        <v>78</v>
      </c>
      <c r="C27" s="66"/>
      <c r="D27" s="81"/>
      <c r="E27" s="81"/>
      <c r="F27" s="81"/>
      <c r="G27" s="81"/>
      <c r="I27" s="10" t="s">
        <v>25</v>
      </c>
      <c r="J27" s="145" t="s">
        <v>219</v>
      </c>
      <c r="K27" s="145"/>
      <c r="L27" s="99"/>
      <c r="M27" s="145"/>
    </row>
    <row r="28" spans="1:13" ht="32.25" customHeight="1">
      <c r="A28" s="36">
        <v>1</v>
      </c>
      <c r="B28" s="38" t="s">
        <v>112</v>
      </c>
      <c r="C28" s="96" t="s">
        <v>121</v>
      </c>
      <c r="D28" s="96" t="s">
        <v>121</v>
      </c>
      <c r="E28" s="33">
        <f>0.5*0.03</f>
        <v>1.4999999999999999E-2</v>
      </c>
      <c r="F28" s="53">
        <f t="shared" ref="F28:F29" si="10">IF(C28="0 - not considered at all",0*$E28,IF(C28="1 -  planned, not implemented",1*$E28/3,IF(C28="2 - partially implemented",2*$E28/3,$E28)))</f>
        <v>0</v>
      </c>
      <c r="G28" s="54">
        <f t="shared" ref="G28:G29" si="11">IF(D28="0 - not considered at all",0*$E28,IF(D28="1 -  planned, not implemented",1*$E28/3,IF(D28="2 - partially implemented",2*$E28/3,$E28)))</f>
        <v>0</v>
      </c>
      <c r="J28" s="145"/>
      <c r="K28" s="145"/>
      <c r="L28" s="99"/>
      <c r="M28" s="145"/>
    </row>
    <row r="29" spans="1:13" ht="63.75">
      <c r="A29" s="36">
        <v>2</v>
      </c>
      <c r="B29" s="38" t="s">
        <v>113</v>
      </c>
      <c r="C29" s="96" t="s">
        <v>121</v>
      </c>
      <c r="D29" s="96" t="s">
        <v>121</v>
      </c>
      <c r="E29" s="33">
        <f>0.5*0.03</f>
        <v>1.4999999999999999E-2</v>
      </c>
      <c r="F29" s="53">
        <f t="shared" si="10"/>
        <v>0</v>
      </c>
      <c r="G29" s="54">
        <f t="shared" si="11"/>
        <v>0</v>
      </c>
      <c r="J29" s="145"/>
      <c r="K29" s="145"/>
      <c r="L29" s="99"/>
      <c r="M29" s="145"/>
    </row>
    <row r="30" spans="1:13" ht="15.75" thickBot="1">
      <c r="A30" s="36" t="s">
        <v>8</v>
      </c>
      <c r="B30" s="13"/>
      <c r="C30" s="140" t="s">
        <v>184</v>
      </c>
      <c r="D30" s="141"/>
      <c r="E30" s="142"/>
      <c r="F30" s="20">
        <f>SUM(F28:F29)</f>
        <v>0</v>
      </c>
      <c r="G30" s="20">
        <f>SUM(G27:G29)</f>
        <v>0</v>
      </c>
      <c r="H30" s="69" t="s">
        <v>196</v>
      </c>
      <c r="I30" s="71"/>
    </row>
    <row r="31" spans="1:13" ht="15.75" thickBot="1">
      <c r="C31" s="143" t="s">
        <v>175</v>
      </c>
      <c r="D31" s="143"/>
      <c r="F31" s="45">
        <f>SUM(F7,F13,F18,F22,F26,F30)</f>
        <v>0.13800000000000001</v>
      </c>
      <c r="G31" s="45">
        <f>SUM(G7,G13,G18,G22,G26,G30)</f>
        <v>0</v>
      </c>
    </row>
    <row r="32" spans="1:13">
      <c r="C32" s="144" t="s">
        <v>181</v>
      </c>
      <c r="D32" s="144"/>
      <c r="F32" s="48">
        <v>30</v>
      </c>
      <c r="G32" s="48">
        <v>30</v>
      </c>
    </row>
    <row r="33" spans="1:12">
      <c r="D33" s="15"/>
      <c r="E33" s="15"/>
      <c r="G33" s="42"/>
    </row>
    <row r="34" spans="1:12" customFormat="1" ht="32.25" customHeight="1">
      <c r="A34" s="138" t="s">
        <v>153</v>
      </c>
      <c r="B34" s="138"/>
      <c r="C34" s="46"/>
      <c r="D34" s="139" t="s">
        <v>154</v>
      </c>
      <c r="E34" s="139"/>
      <c r="F34" s="139"/>
      <c r="G34" s="139"/>
      <c r="H34" s="139"/>
      <c r="I34" s="139"/>
      <c r="J34" s="139"/>
      <c r="K34" s="47"/>
      <c r="L34" s="47"/>
    </row>
  </sheetData>
  <sheetProtection password="C7FA" sheet="1" objects="1" scenarios="1" formatRows="0"/>
  <mergeCells count="28">
    <mergeCell ref="A34:B34"/>
    <mergeCell ref="D34:J34"/>
    <mergeCell ref="C30:E30"/>
    <mergeCell ref="C22:E22"/>
    <mergeCell ref="C26:E26"/>
    <mergeCell ref="J23:J25"/>
    <mergeCell ref="J27:J29"/>
    <mergeCell ref="C32:D32"/>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C7:D7"/>
    <mergeCell ref="C13:D13"/>
    <mergeCell ref="C18:D18"/>
    <mergeCell ref="C31:D31"/>
    <mergeCell ref="J19:J21"/>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topLeftCell="C1" zoomScaleNormal="100" workbookViewId="0">
      <selection activeCell="M1" sqref="M1:M1048576"/>
    </sheetView>
  </sheetViews>
  <sheetFormatPr defaultColWidth="34.5703125" defaultRowHeight="15"/>
  <cols>
    <col min="1" max="1" width="4.42578125" style="10" customWidth="1"/>
    <col min="2" max="2" width="36.28515625" style="9" customWidth="1"/>
    <col min="3" max="3" width="17.7109375" style="10" customWidth="1"/>
    <col min="4" max="4" width="18.28515625" style="11" hidden="1" customWidth="1"/>
    <col min="5" max="5" width="0.140625" style="11" customWidth="1"/>
    <col min="6" max="6" width="7.85546875" style="11" customWidth="1"/>
    <col min="7" max="7" width="8.5703125" style="11" hidden="1" customWidth="1"/>
    <col min="8" max="8" width="6.140625" style="10" customWidth="1"/>
    <col min="9" max="9" width="3.5703125" style="10" customWidth="1"/>
    <col min="10" max="10" width="35" style="10" customWidth="1"/>
    <col min="11" max="11" width="27.85546875" style="10" customWidth="1"/>
    <col min="12" max="12" width="0.140625" style="10" customWidth="1"/>
    <col min="13" max="13" width="35.28515625" style="10" hidden="1" customWidth="1"/>
    <col min="14" max="14" width="3" style="10" bestFit="1" customWidth="1"/>
    <col min="15" max="16384" width="34.5703125" style="10"/>
  </cols>
  <sheetData>
    <row r="1" spans="1:13" s="18" customFormat="1">
      <c r="A1" s="31" t="s">
        <v>126</v>
      </c>
      <c r="B1" s="17"/>
      <c r="D1" s="19"/>
      <c r="E1" s="19"/>
      <c r="F1" s="19"/>
      <c r="G1" s="19"/>
    </row>
    <row r="2" spans="1:13" ht="78" customHeight="1">
      <c r="A2" s="60" t="s">
        <v>75</v>
      </c>
      <c r="B2" s="61" t="s">
        <v>162</v>
      </c>
      <c r="C2" s="62" t="s">
        <v>118</v>
      </c>
      <c r="D2" s="63" t="s">
        <v>156</v>
      </c>
      <c r="E2" s="74" t="s">
        <v>9</v>
      </c>
      <c r="F2" s="74" t="s">
        <v>12</v>
      </c>
      <c r="G2" s="65" t="s">
        <v>157</v>
      </c>
      <c r="H2" s="66"/>
      <c r="I2" s="66"/>
      <c r="J2" s="67" t="s">
        <v>130</v>
      </c>
      <c r="K2" s="68" t="s">
        <v>201</v>
      </c>
      <c r="L2" s="66"/>
      <c r="M2" s="75" t="s">
        <v>176</v>
      </c>
    </row>
    <row r="3" spans="1:13">
      <c r="A3" s="88" t="s">
        <v>26</v>
      </c>
      <c r="B3" s="89" t="s">
        <v>27</v>
      </c>
      <c r="C3" s="66"/>
      <c r="D3" s="81"/>
      <c r="E3" s="81"/>
      <c r="F3" s="81"/>
      <c r="G3" s="81"/>
      <c r="I3" s="10" t="s">
        <v>26</v>
      </c>
      <c r="J3" s="145" t="s">
        <v>220</v>
      </c>
      <c r="K3" s="145"/>
      <c r="L3" s="99"/>
      <c r="M3" s="145"/>
    </row>
    <row r="4" spans="1:13" ht="25.5" customHeight="1">
      <c r="A4" s="36">
        <v>1</v>
      </c>
      <c r="B4" s="55" t="s">
        <v>131</v>
      </c>
      <c r="C4" s="96" t="s">
        <v>124</v>
      </c>
      <c r="D4" s="96" t="s">
        <v>121</v>
      </c>
      <c r="E4" s="33">
        <f>0.2*0.04</f>
        <v>8.0000000000000002E-3</v>
      </c>
      <c r="F4" s="53">
        <f>IF(C4="0 - not considered at all",0*$E4,IF(C4="1 -  planned, not implemented",$E4/3,IF(C4="2 - partially implemented",2*$E4/3,$E4)))</f>
        <v>8.0000000000000002E-3</v>
      </c>
      <c r="G4" s="54">
        <f>IF(D4="0 - not considered at all",0*$E4,IF(D4="1 -  planned, not implemented",$E4/3,IF(D4="2 - partially implemented",2*$E4/3,$E4)))</f>
        <v>0</v>
      </c>
      <c r="J4" s="145"/>
      <c r="K4" s="145"/>
      <c r="L4" s="97" t="s">
        <v>121</v>
      </c>
      <c r="M4" s="145"/>
    </row>
    <row r="5" spans="1:13" ht="27" customHeight="1">
      <c r="A5" s="36">
        <v>2</v>
      </c>
      <c r="B5" s="55" t="s">
        <v>132</v>
      </c>
      <c r="C5" s="96" t="s">
        <v>124</v>
      </c>
      <c r="D5" s="96" t="s">
        <v>121</v>
      </c>
      <c r="E5" s="33">
        <f>0.3*0.04</f>
        <v>1.2E-2</v>
      </c>
      <c r="F5" s="53">
        <f t="shared" ref="F5:F8" si="0">IF(C5="0 - not considered at all",0*$E5,IF(C5="1 -  planned, not implemented",$E5/3,IF(C5="2 - partially implemented",2*$E5/3,$E5)))</f>
        <v>1.2E-2</v>
      </c>
      <c r="G5" s="54">
        <f t="shared" ref="G5:G8" si="1">IF(D5="0 - not considered at all",0*$E5,IF(D5="1 -  planned, not implemented",$E5/3,IF(D5="2 - partially implemented",2*$E5/3,$E5)))</f>
        <v>0</v>
      </c>
      <c r="J5" s="145"/>
      <c r="K5" s="145"/>
      <c r="L5" s="97" t="s">
        <v>122</v>
      </c>
      <c r="M5" s="145"/>
    </row>
    <row r="6" spans="1:13" ht="27" customHeight="1">
      <c r="A6" s="36">
        <v>3</v>
      </c>
      <c r="B6" s="55" t="s">
        <v>133</v>
      </c>
      <c r="C6" s="96" t="s">
        <v>124</v>
      </c>
      <c r="D6" s="96" t="s">
        <v>121</v>
      </c>
      <c r="E6" s="33">
        <f>0.2*0.04</f>
        <v>8.0000000000000002E-3</v>
      </c>
      <c r="F6" s="53">
        <f t="shared" si="0"/>
        <v>8.0000000000000002E-3</v>
      </c>
      <c r="G6" s="54">
        <f t="shared" si="1"/>
        <v>0</v>
      </c>
      <c r="J6" s="145"/>
      <c r="K6" s="145"/>
      <c r="L6" s="97" t="s">
        <v>123</v>
      </c>
      <c r="M6" s="145"/>
    </row>
    <row r="7" spans="1:13" ht="31.5" customHeight="1">
      <c r="A7" s="36">
        <v>4</v>
      </c>
      <c r="B7" s="55" t="s">
        <v>134</v>
      </c>
      <c r="C7" s="96" t="s">
        <v>124</v>
      </c>
      <c r="D7" s="96" t="s">
        <v>121</v>
      </c>
      <c r="E7" s="33">
        <f>0.1*0.04</f>
        <v>4.0000000000000001E-3</v>
      </c>
      <c r="F7" s="53">
        <f t="shared" si="0"/>
        <v>4.0000000000000001E-3</v>
      </c>
      <c r="G7" s="54">
        <f t="shared" si="1"/>
        <v>0</v>
      </c>
      <c r="J7" s="145"/>
      <c r="K7" s="145"/>
      <c r="L7" s="97" t="s">
        <v>124</v>
      </c>
      <c r="M7" s="145"/>
    </row>
    <row r="8" spans="1:13" ht="27.75" customHeight="1">
      <c r="A8" s="36">
        <v>5</v>
      </c>
      <c r="B8" s="56" t="s">
        <v>135</v>
      </c>
      <c r="C8" s="96" t="s">
        <v>123</v>
      </c>
      <c r="D8" s="96" t="s">
        <v>121</v>
      </c>
      <c r="E8" s="33">
        <f>0.2*0.04</f>
        <v>8.0000000000000002E-3</v>
      </c>
      <c r="F8" s="53">
        <f t="shared" si="0"/>
        <v>5.3333333333333332E-3</v>
      </c>
      <c r="G8" s="54">
        <f t="shared" si="1"/>
        <v>0</v>
      </c>
      <c r="J8" s="145"/>
      <c r="K8" s="145"/>
      <c r="L8" s="99"/>
      <c r="M8" s="145"/>
    </row>
    <row r="9" spans="1:13" ht="17.25" customHeight="1">
      <c r="A9" s="36" t="s">
        <v>8</v>
      </c>
      <c r="B9" s="13"/>
      <c r="C9" s="140" t="s">
        <v>159</v>
      </c>
      <c r="D9" s="142"/>
      <c r="E9" s="57">
        <f>SUM(E3:E8)</f>
        <v>0.04</v>
      </c>
      <c r="F9" s="79">
        <f>SUM(F4:F8)</f>
        <v>3.7333333333333336E-2</v>
      </c>
      <c r="G9" s="79">
        <f>SUM(G4:G8)</f>
        <v>0</v>
      </c>
      <c r="H9" s="14" t="s">
        <v>197</v>
      </c>
      <c r="I9" s="14"/>
      <c r="J9" s="82"/>
      <c r="K9" s="82"/>
      <c r="L9" s="82"/>
      <c r="M9" s="82"/>
    </row>
    <row r="10" spans="1:13" ht="33" customHeight="1">
      <c r="A10" s="87" t="s">
        <v>28</v>
      </c>
      <c r="B10" s="89" t="s">
        <v>29</v>
      </c>
      <c r="C10" s="66"/>
      <c r="D10" s="81"/>
      <c r="E10" s="81"/>
      <c r="F10" s="81"/>
      <c r="G10" s="81"/>
      <c r="H10" s="77"/>
      <c r="I10" s="77" t="s">
        <v>28</v>
      </c>
      <c r="J10" s="145" t="s">
        <v>221</v>
      </c>
      <c r="K10" s="145"/>
      <c r="L10" s="99"/>
      <c r="M10" s="145"/>
    </row>
    <row r="11" spans="1:13" ht="25.5">
      <c r="A11" s="36">
        <v>1</v>
      </c>
      <c r="B11" s="38" t="s">
        <v>30</v>
      </c>
      <c r="C11" s="96" t="s">
        <v>121</v>
      </c>
      <c r="D11" s="96" t="s">
        <v>121</v>
      </c>
      <c r="E11" s="33">
        <f>0.2*4/100</f>
        <v>8.0000000000000002E-3</v>
      </c>
      <c r="F11" s="53">
        <f>IF(C11="0 - not considered at all",0*$E11,IF(C11="1 -  planned, not implemented",1*$E11/3,IF(C11="2 - partially implemented",2*$E11/3,$E11)))</f>
        <v>0</v>
      </c>
      <c r="G11" s="54">
        <f t="shared" ref="G11:G14" si="2">IF(D11="0 - not considered at all",0*$E11,IF(D11="1 -  planned, not implemented",$E11/3,IF(D11="2 - partially implemented",2*$E11/3,$E11)))</f>
        <v>0</v>
      </c>
      <c r="J11" s="145"/>
      <c r="K11" s="145"/>
      <c r="L11" s="99"/>
      <c r="M11" s="145"/>
    </row>
    <row r="12" spans="1:13" ht="25.5">
      <c r="A12" s="36">
        <v>2</v>
      </c>
      <c r="B12" s="38" t="s">
        <v>31</v>
      </c>
      <c r="C12" s="96" t="s">
        <v>121</v>
      </c>
      <c r="D12" s="96" t="s">
        <v>121</v>
      </c>
      <c r="E12" s="33">
        <f>0.2*4/100</f>
        <v>8.0000000000000002E-3</v>
      </c>
      <c r="F12" s="53">
        <f t="shared" ref="F12:F14" si="3">IF(C12="0 - not considered at all",0*$E12,IF(C12="1 -  planned, not implemented",1*$E12/3,IF(C12="2 - partially implemented",2*$E12/3,$E12)))</f>
        <v>0</v>
      </c>
      <c r="G12" s="54">
        <f t="shared" si="2"/>
        <v>0</v>
      </c>
      <c r="J12" s="145"/>
      <c r="K12" s="145"/>
      <c r="L12" s="99"/>
      <c r="M12" s="145"/>
    </row>
    <row r="13" spans="1:13" ht="25.5">
      <c r="A13" s="36">
        <v>3</v>
      </c>
      <c r="B13" s="38" t="s">
        <v>69</v>
      </c>
      <c r="C13" s="96" t="s">
        <v>121</v>
      </c>
      <c r="D13" s="96" t="s">
        <v>121</v>
      </c>
      <c r="E13" s="33">
        <f>0.3*4/100</f>
        <v>1.2E-2</v>
      </c>
      <c r="F13" s="53">
        <f t="shared" si="3"/>
        <v>0</v>
      </c>
      <c r="G13" s="54">
        <f t="shared" si="2"/>
        <v>0</v>
      </c>
      <c r="J13" s="145"/>
      <c r="K13" s="145"/>
      <c r="L13" s="99"/>
      <c r="M13" s="145"/>
    </row>
    <row r="14" spans="1:13" ht="25.5">
      <c r="A14" s="36">
        <v>4</v>
      </c>
      <c r="B14" s="38" t="s">
        <v>70</v>
      </c>
      <c r="C14" s="96" t="s">
        <v>121</v>
      </c>
      <c r="D14" s="96" t="s">
        <v>121</v>
      </c>
      <c r="E14" s="33">
        <f>0.3*4/100</f>
        <v>1.2E-2</v>
      </c>
      <c r="F14" s="53">
        <f t="shared" si="3"/>
        <v>0</v>
      </c>
      <c r="G14" s="54">
        <f t="shared" si="2"/>
        <v>0</v>
      </c>
      <c r="J14" s="145"/>
      <c r="K14" s="145"/>
      <c r="L14" s="99"/>
      <c r="M14" s="145"/>
    </row>
    <row r="15" spans="1:13">
      <c r="A15" s="36" t="s">
        <v>8</v>
      </c>
      <c r="B15" s="13"/>
      <c r="C15" s="140" t="s">
        <v>160</v>
      </c>
      <c r="D15" s="142"/>
      <c r="E15" s="50"/>
      <c r="F15" s="79">
        <f>SUM(F11:F14)</f>
        <v>0</v>
      </c>
      <c r="G15" s="79">
        <f>SUM(G11:G14)</f>
        <v>0</v>
      </c>
      <c r="H15" s="14" t="s">
        <v>197</v>
      </c>
      <c r="I15" s="14"/>
      <c r="J15" s="82"/>
      <c r="K15" s="82"/>
      <c r="L15" s="82"/>
      <c r="M15" s="82"/>
    </row>
    <row r="16" spans="1:13">
      <c r="A16" s="87" t="s">
        <v>116</v>
      </c>
      <c r="B16" s="90" t="s">
        <v>71</v>
      </c>
      <c r="C16" s="66"/>
      <c r="D16" s="81"/>
      <c r="E16" s="81"/>
      <c r="F16" s="81"/>
      <c r="G16" s="81"/>
      <c r="H16" s="77"/>
      <c r="I16" s="77" t="s">
        <v>116</v>
      </c>
      <c r="J16" s="145" t="s">
        <v>222</v>
      </c>
      <c r="K16" s="146"/>
      <c r="L16" s="95"/>
      <c r="M16" s="145"/>
    </row>
    <row r="17" spans="1:13" ht="27" customHeight="1">
      <c r="A17" s="36">
        <v>1</v>
      </c>
      <c r="B17" s="38" t="s">
        <v>136</v>
      </c>
      <c r="C17" s="96" t="s">
        <v>122</v>
      </c>
      <c r="D17" s="96" t="s">
        <v>121</v>
      </c>
      <c r="E17" s="33">
        <f t="shared" ref="E17:E21" si="4">0.2*4/100</f>
        <v>8.0000000000000002E-3</v>
      </c>
      <c r="F17" s="53">
        <f t="shared" ref="F17:F21" si="5">IF(C17="0 - not considered at all",0*$E17,IF(C17="1 -  planned, not implemented",1*$E17/3,IF(C17="2 - partially implemented",2*$E17/3,$E17)))</f>
        <v>2.6666666666666666E-3</v>
      </c>
      <c r="G17" s="54">
        <f t="shared" ref="G17:G21" si="6">IF(D17="0 - not considered at all",0*$E17,IF(D17="1 -  planned, not implemented",$E17/3,IF(D17="2 - partially implemented",2*$E17/3,$E17)))</f>
        <v>0</v>
      </c>
      <c r="J17" s="145"/>
      <c r="K17" s="146"/>
      <c r="L17" s="95"/>
      <c r="M17" s="146"/>
    </row>
    <row r="18" spans="1:13" ht="39" customHeight="1">
      <c r="A18" s="36">
        <v>2</v>
      </c>
      <c r="B18" s="38" t="s">
        <v>137</v>
      </c>
      <c r="C18" s="96" t="s">
        <v>124</v>
      </c>
      <c r="D18" s="96" t="s">
        <v>121</v>
      </c>
      <c r="E18" s="33">
        <f t="shared" si="4"/>
        <v>8.0000000000000002E-3</v>
      </c>
      <c r="F18" s="53">
        <f t="shared" si="5"/>
        <v>8.0000000000000002E-3</v>
      </c>
      <c r="G18" s="54">
        <f t="shared" si="6"/>
        <v>0</v>
      </c>
      <c r="J18" s="145"/>
      <c r="K18" s="146"/>
      <c r="L18" s="95"/>
      <c r="M18" s="146"/>
    </row>
    <row r="19" spans="1:13" ht="25.5">
      <c r="A19" s="36">
        <v>3</v>
      </c>
      <c r="B19" s="38" t="s">
        <v>138</v>
      </c>
      <c r="C19" s="96" t="s">
        <v>124</v>
      </c>
      <c r="D19" s="96" t="s">
        <v>121</v>
      </c>
      <c r="E19" s="33">
        <f t="shared" si="4"/>
        <v>8.0000000000000002E-3</v>
      </c>
      <c r="F19" s="53">
        <f t="shared" si="5"/>
        <v>8.0000000000000002E-3</v>
      </c>
      <c r="G19" s="54">
        <f t="shared" si="6"/>
        <v>0</v>
      </c>
      <c r="J19" s="145"/>
      <c r="K19" s="146"/>
      <c r="L19" s="95"/>
      <c r="M19" s="146"/>
    </row>
    <row r="20" spans="1:13" ht="29.25" customHeight="1">
      <c r="A20" s="36">
        <v>4</v>
      </c>
      <c r="B20" s="38" t="s">
        <v>142</v>
      </c>
      <c r="C20" s="96" t="s">
        <v>124</v>
      </c>
      <c r="D20" s="96" t="s">
        <v>121</v>
      </c>
      <c r="E20" s="33">
        <f t="shared" si="4"/>
        <v>8.0000000000000002E-3</v>
      </c>
      <c r="F20" s="53">
        <f t="shared" si="5"/>
        <v>8.0000000000000002E-3</v>
      </c>
      <c r="G20" s="54">
        <f t="shared" si="6"/>
        <v>0</v>
      </c>
      <c r="J20" s="145"/>
      <c r="K20" s="146"/>
      <c r="L20" s="95"/>
      <c r="M20" s="146"/>
    </row>
    <row r="21" spans="1:13" ht="38.25">
      <c r="A21" s="36">
        <v>5</v>
      </c>
      <c r="B21" s="39" t="s">
        <v>143</v>
      </c>
      <c r="C21" s="96" t="s">
        <v>123</v>
      </c>
      <c r="D21" s="96" t="s">
        <v>121</v>
      </c>
      <c r="E21" s="33">
        <f t="shared" si="4"/>
        <v>8.0000000000000002E-3</v>
      </c>
      <c r="F21" s="53">
        <f t="shared" si="5"/>
        <v>5.3333333333333332E-3</v>
      </c>
      <c r="G21" s="54">
        <f t="shared" si="6"/>
        <v>0</v>
      </c>
      <c r="J21" s="145"/>
      <c r="K21" s="146"/>
      <c r="L21" s="95"/>
      <c r="M21" s="146"/>
    </row>
    <row r="22" spans="1:13">
      <c r="A22" s="36" t="s">
        <v>8</v>
      </c>
      <c r="B22" s="13"/>
      <c r="C22" s="140" t="s">
        <v>161</v>
      </c>
      <c r="D22" s="142"/>
      <c r="E22" s="50"/>
      <c r="F22" s="79">
        <f>SUM(F17:F21)</f>
        <v>3.2000000000000001E-2</v>
      </c>
      <c r="G22" s="79">
        <f>SUM(G17:G21)</f>
        <v>0</v>
      </c>
      <c r="H22" s="14" t="s">
        <v>197</v>
      </c>
      <c r="I22" s="14"/>
      <c r="J22" s="82"/>
      <c r="K22" s="82"/>
      <c r="L22" s="82"/>
      <c r="M22" s="82"/>
    </row>
    <row r="23" spans="1:13">
      <c r="A23" s="87" t="s">
        <v>32</v>
      </c>
      <c r="B23" s="90" t="s">
        <v>72</v>
      </c>
      <c r="C23" s="66"/>
      <c r="D23" s="81"/>
      <c r="E23" s="81"/>
      <c r="F23" s="81"/>
      <c r="G23" s="81"/>
      <c r="H23" s="77"/>
      <c r="I23" s="77" t="s">
        <v>32</v>
      </c>
      <c r="J23" s="145" t="s">
        <v>223</v>
      </c>
      <c r="K23" s="145"/>
      <c r="L23" s="99"/>
      <c r="M23" s="145"/>
    </row>
    <row r="24" spans="1:13" ht="66.75" customHeight="1">
      <c r="A24" s="36">
        <v>1</v>
      </c>
      <c r="B24" s="38" t="s">
        <v>144</v>
      </c>
      <c r="C24" s="96" t="s">
        <v>123</v>
      </c>
      <c r="D24" s="96" t="s">
        <v>121</v>
      </c>
      <c r="E24" s="33">
        <f>0.5*0.04</f>
        <v>0.02</v>
      </c>
      <c r="F24" s="53">
        <f t="shared" ref="F24:F25" si="7">IF(C24="0 - not considered at all",0*$E24,IF(C24="1 -  planned, not implemented",1*$E24/3,IF(C24="2 - partially implemented",2*$E24/3,$E24)))</f>
        <v>1.3333333333333334E-2</v>
      </c>
      <c r="G24" s="54">
        <f t="shared" ref="G24:G25" si="8">IF(D24="0 - not considered at all",0*$E24,IF(D24="1 -  planned, not implemented",$E24/3,IF(D24="2 - partially implemented",2*$E24/3,$E24)))</f>
        <v>0</v>
      </c>
      <c r="J24" s="145"/>
      <c r="K24" s="145"/>
      <c r="L24" s="99"/>
      <c r="M24" s="145"/>
    </row>
    <row r="25" spans="1:13" ht="47.25" customHeight="1">
      <c r="A25" s="36">
        <v>2</v>
      </c>
      <c r="B25" s="38" t="s">
        <v>145</v>
      </c>
      <c r="C25" s="96" t="s">
        <v>122</v>
      </c>
      <c r="D25" s="96" t="s">
        <v>121</v>
      </c>
      <c r="E25" s="33">
        <f>0.5*0.04</f>
        <v>0.02</v>
      </c>
      <c r="F25" s="53">
        <f t="shared" si="7"/>
        <v>6.6666666666666671E-3</v>
      </c>
      <c r="G25" s="54">
        <f t="shared" si="8"/>
        <v>0</v>
      </c>
      <c r="J25" s="145"/>
      <c r="K25" s="145"/>
      <c r="L25" s="99"/>
      <c r="M25" s="145"/>
    </row>
    <row r="26" spans="1:13">
      <c r="A26" s="36" t="s">
        <v>8</v>
      </c>
      <c r="B26" s="13"/>
      <c r="C26" s="140" t="s">
        <v>177</v>
      </c>
      <c r="D26" s="142"/>
      <c r="E26" s="50"/>
      <c r="F26" s="79">
        <f>SUM(F24:F25)</f>
        <v>0.02</v>
      </c>
      <c r="G26" s="79">
        <f>SUM(G24:G25)</f>
        <v>0</v>
      </c>
      <c r="H26" s="14" t="s">
        <v>197</v>
      </c>
      <c r="I26" s="14"/>
      <c r="J26" s="100"/>
      <c r="K26" s="100"/>
      <c r="L26" s="100"/>
      <c r="M26" s="100"/>
    </row>
    <row r="27" spans="1:13" ht="33.75" customHeight="1">
      <c r="A27" s="87" t="s">
        <v>33</v>
      </c>
      <c r="B27" s="89" t="s">
        <v>74</v>
      </c>
      <c r="C27" s="66"/>
      <c r="D27" s="81"/>
      <c r="E27" s="81"/>
      <c r="F27" s="81"/>
      <c r="G27" s="81"/>
      <c r="H27" s="77"/>
      <c r="I27" s="77" t="s">
        <v>33</v>
      </c>
      <c r="J27" s="145" t="s">
        <v>224</v>
      </c>
      <c r="K27" s="145"/>
      <c r="L27" s="100"/>
      <c r="M27" s="145"/>
    </row>
    <row r="28" spans="1:13" ht="34.5" customHeight="1">
      <c r="A28" s="36">
        <v>1</v>
      </c>
      <c r="B28" s="38" t="s">
        <v>146</v>
      </c>
      <c r="C28" s="96" t="s">
        <v>124</v>
      </c>
      <c r="D28" s="96" t="s">
        <v>121</v>
      </c>
      <c r="E28" s="33">
        <f>0.3*0.02</f>
        <v>6.0000000000000001E-3</v>
      </c>
      <c r="F28" s="53">
        <f t="shared" ref="F28:F30" si="9">IF(C28="0 - not considered at all",0*$E28,IF(C28="1 -  planned, not implemented",1*$E28/3,IF(C28="2 - partially implemented",2*$E28/3,$E28)))</f>
        <v>6.0000000000000001E-3</v>
      </c>
      <c r="G28" s="54">
        <f t="shared" ref="G28:G30" si="10">IF(D28="0 - not considered at all",0*$E28,IF(D28="1 -  planned, not implemented",$E28/3,IF(D28="2 - partially implemented",2*$E28/3,$E28)))</f>
        <v>0</v>
      </c>
      <c r="J28" s="145"/>
      <c r="K28" s="145"/>
      <c r="L28" s="100"/>
      <c r="M28" s="145"/>
    </row>
    <row r="29" spans="1:13" ht="38.25">
      <c r="A29" s="36">
        <v>2</v>
      </c>
      <c r="B29" s="38" t="s">
        <v>147</v>
      </c>
      <c r="C29" s="96" t="s">
        <v>124</v>
      </c>
      <c r="D29" s="96" t="s">
        <v>121</v>
      </c>
      <c r="E29" s="33">
        <f>0.3*0.02</f>
        <v>6.0000000000000001E-3</v>
      </c>
      <c r="F29" s="53">
        <f t="shared" si="9"/>
        <v>6.0000000000000001E-3</v>
      </c>
      <c r="G29" s="54">
        <f t="shared" si="10"/>
        <v>0</v>
      </c>
      <c r="J29" s="145"/>
      <c r="K29" s="145"/>
      <c r="L29" s="100"/>
      <c r="M29" s="145"/>
    </row>
    <row r="30" spans="1:13" ht="38.25" customHeight="1">
      <c r="A30" s="36">
        <v>3</v>
      </c>
      <c r="B30" s="38" t="s">
        <v>148</v>
      </c>
      <c r="C30" s="96" t="s">
        <v>122</v>
      </c>
      <c r="D30" s="96" t="s">
        <v>121</v>
      </c>
      <c r="E30" s="33">
        <f>0.4*0.02</f>
        <v>8.0000000000000002E-3</v>
      </c>
      <c r="F30" s="53">
        <f t="shared" si="9"/>
        <v>2.6666666666666666E-3</v>
      </c>
      <c r="G30" s="54">
        <f t="shared" si="10"/>
        <v>0</v>
      </c>
      <c r="J30" s="145"/>
      <c r="K30" s="145"/>
      <c r="L30" s="100"/>
      <c r="M30" s="145"/>
    </row>
    <row r="31" spans="1:13">
      <c r="A31" s="36" t="s">
        <v>8</v>
      </c>
      <c r="B31" s="13"/>
      <c r="C31" s="140" t="s">
        <v>178</v>
      </c>
      <c r="D31" s="142"/>
      <c r="E31" s="50"/>
      <c r="F31" s="79">
        <f>SUM(F28:F30)</f>
        <v>1.4666666666666666E-2</v>
      </c>
      <c r="G31" s="79">
        <f>SUM(G28:G30)</f>
        <v>0</v>
      </c>
      <c r="H31" s="14" t="s">
        <v>198</v>
      </c>
      <c r="I31" s="14"/>
      <c r="J31" s="100"/>
      <c r="K31" s="100"/>
      <c r="L31" s="100"/>
      <c r="M31" s="100"/>
    </row>
    <row r="32" spans="1:13" ht="16.5" customHeight="1">
      <c r="A32" s="87" t="s">
        <v>73</v>
      </c>
      <c r="B32" s="89" t="s">
        <v>94</v>
      </c>
      <c r="C32" s="66"/>
      <c r="D32" s="81"/>
      <c r="E32" s="81"/>
      <c r="F32" s="81"/>
      <c r="G32" s="48"/>
      <c r="H32" s="77"/>
      <c r="I32" s="77" t="s">
        <v>73</v>
      </c>
      <c r="J32" s="145" t="s">
        <v>225</v>
      </c>
      <c r="K32" s="145"/>
      <c r="L32" s="99"/>
      <c r="M32" s="145"/>
    </row>
    <row r="33" spans="1:13" ht="28.5" customHeight="1">
      <c r="A33" s="36">
        <v>1</v>
      </c>
      <c r="B33" s="38" t="s">
        <v>149</v>
      </c>
      <c r="C33" s="96" t="s">
        <v>121</v>
      </c>
      <c r="D33" s="96" t="s">
        <v>121</v>
      </c>
      <c r="E33" s="33">
        <f>0.5*0.02</f>
        <v>0.01</v>
      </c>
      <c r="F33" s="53">
        <f t="shared" ref="F33:F34" si="11">IF(C33="0 - not considered at all",0*$E33,IF(C33="1 -  planned, not implemented",1*$E33/3,IF(C33="2 - partially implemented",2*$E33/3,$E33)))</f>
        <v>0</v>
      </c>
      <c r="G33" s="54">
        <f t="shared" ref="G33:G34" si="12">IF(D33="0 - not considered at all",0*$E33,IF(D33="1 -  planned, not implemented",$E33/3,IF(D33="2 - partially implemented",2*$E33/3,$E33)))</f>
        <v>0</v>
      </c>
      <c r="J33" s="145"/>
      <c r="K33" s="145"/>
      <c r="L33" s="99"/>
      <c r="M33" s="145"/>
    </row>
    <row r="34" spans="1:13" ht="25.5">
      <c r="A34" s="36">
        <v>2</v>
      </c>
      <c r="B34" s="38" t="s">
        <v>150</v>
      </c>
      <c r="C34" s="96" t="s">
        <v>122</v>
      </c>
      <c r="D34" s="96" t="s">
        <v>121</v>
      </c>
      <c r="E34" s="33">
        <f>0.5*0.02</f>
        <v>0.01</v>
      </c>
      <c r="F34" s="53">
        <f t="shared" si="11"/>
        <v>3.3333333333333335E-3</v>
      </c>
      <c r="G34" s="54">
        <f t="shared" si="12"/>
        <v>0</v>
      </c>
      <c r="J34" s="145"/>
      <c r="K34" s="145"/>
      <c r="L34" s="99"/>
      <c r="M34" s="145"/>
    </row>
    <row r="35" spans="1:13" ht="15.75" thickBot="1">
      <c r="A35" s="36" t="s">
        <v>8</v>
      </c>
      <c r="B35" s="13"/>
      <c r="C35" s="140" t="s">
        <v>179</v>
      </c>
      <c r="D35" s="142"/>
      <c r="E35" s="50"/>
      <c r="F35" s="79">
        <f>SUM(F33:F34)</f>
        <v>3.3333333333333335E-3</v>
      </c>
      <c r="G35" s="79">
        <f>SUM(G32:G34)</f>
        <v>0</v>
      </c>
      <c r="H35" s="14" t="s">
        <v>198</v>
      </c>
      <c r="I35" s="14"/>
    </row>
    <row r="36" spans="1:13" ht="15.75" thickBot="1">
      <c r="C36" s="143" t="s">
        <v>140</v>
      </c>
      <c r="D36" s="143"/>
      <c r="F36" s="45">
        <f>SUM(F9,F15,F22,F26,F31,F35)</f>
        <v>0.10733333333333332</v>
      </c>
      <c r="G36" s="45">
        <f>SUM(G9,G15,G22,G26,G31,G35)</f>
        <v>0</v>
      </c>
    </row>
    <row r="37" spans="1:13">
      <c r="C37" s="144" t="s">
        <v>181</v>
      </c>
      <c r="D37" s="144"/>
      <c r="E37" s="15"/>
      <c r="F37" s="48">
        <v>20</v>
      </c>
      <c r="G37" s="43">
        <v>20</v>
      </c>
    </row>
    <row r="39" spans="1:13" customFormat="1" ht="32.25" customHeight="1">
      <c r="A39" s="138" t="s">
        <v>153</v>
      </c>
      <c r="B39" s="138"/>
      <c r="C39" s="139" t="s">
        <v>154</v>
      </c>
      <c r="D39" s="139"/>
      <c r="E39" s="139"/>
      <c r="F39" s="139"/>
      <c r="G39" s="139"/>
      <c r="H39" s="139"/>
      <c r="I39" s="139"/>
      <c r="J39" s="47"/>
      <c r="K39" s="47"/>
      <c r="M39" s="47"/>
    </row>
  </sheetData>
  <sheetProtection password="C7FA" sheet="1" objects="1" scenarios="1" formatRows="0"/>
  <mergeCells count="28">
    <mergeCell ref="A39:B39"/>
    <mergeCell ref="C39:I39"/>
    <mergeCell ref="C35:D35"/>
    <mergeCell ref="C36:D36"/>
    <mergeCell ref="C37:D37"/>
    <mergeCell ref="J3:J8"/>
    <mergeCell ref="K3:K8"/>
    <mergeCell ref="J10:J14"/>
    <mergeCell ref="K10:K14"/>
    <mergeCell ref="J16:J21"/>
    <mergeCell ref="K16:K21"/>
    <mergeCell ref="M3:M8"/>
    <mergeCell ref="M10:M14"/>
    <mergeCell ref="M16:M21"/>
    <mergeCell ref="M23:M25"/>
    <mergeCell ref="M27:M30"/>
    <mergeCell ref="K32:K34"/>
    <mergeCell ref="M32:M34"/>
    <mergeCell ref="C9:D9"/>
    <mergeCell ref="C15:D15"/>
    <mergeCell ref="C22:D22"/>
    <mergeCell ref="C26:D26"/>
    <mergeCell ref="C31:D31"/>
    <mergeCell ref="J23:J25"/>
    <mergeCell ref="K23:K25"/>
    <mergeCell ref="J27:J30"/>
    <mergeCell ref="K27:K30"/>
    <mergeCell ref="J32:J34"/>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topLeftCell="C1"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8.140625" style="11" hidden="1" customWidth="1"/>
    <col min="5" max="5" width="0.28515625" style="11" hidden="1" customWidth="1"/>
    <col min="6" max="6" width="8.28515625" style="11" customWidth="1"/>
    <col min="7" max="7" width="8.5703125" style="11" hidden="1" customWidth="1"/>
    <col min="8" max="8" width="8" style="10" customWidth="1"/>
    <col min="9" max="9" width="4" style="10" customWidth="1"/>
    <col min="10" max="10" width="33.5703125" style="10" customWidth="1"/>
    <col min="11" max="11" width="25.42578125" style="10" customWidth="1"/>
    <col min="12" max="12" width="0.140625" style="10" hidden="1" customWidth="1"/>
    <col min="13" max="13" width="29.7109375" style="10" hidden="1" customWidth="1"/>
    <col min="14" max="14" width="3" style="10" bestFit="1" customWidth="1"/>
    <col min="15" max="16384" width="34.5703125" style="10"/>
  </cols>
  <sheetData>
    <row r="1" spans="1:13" s="18" customFormat="1">
      <c r="A1" s="31" t="s">
        <v>125</v>
      </c>
      <c r="B1" s="17"/>
      <c r="D1" s="19"/>
      <c r="E1" s="19"/>
      <c r="F1" s="19"/>
      <c r="G1" s="19"/>
    </row>
    <row r="2" spans="1:13" ht="77.25" customHeight="1">
      <c r="A2" s="60" t="s">
        <v>75</v>
      </c>
      <c r="B2" s="61" t="s">
        <v>162</v>
      </c>
      <c r="C2" s="62" t="s">
        <v>118</v>
      </c>
      <c r="D2" s="63" t="s">
        <v>156</v>
      </c>
      <c r="E2" s="74" t="s">
        <v>9</v>
      </c>
      <c r="F2" s="74" t="s">
        <v>12</v>
      </c>
      <c r="G2" s="65" t="s">
        <v>157</v>
      </c>
      <c r="H2" s="66"/>
      <c r="I2" s="66"/>
      <c r="J2" s="67" t="s">
        <v>119</v>
      </c>
      <c r="K2" s="68" t="s">
        <v>191</v>
      </c>
      <c r="L2" s="66"/>
      <c r="M2" s="75" t="s">
        <v>176</v>
      </c>
    </row>
    <row r="3" spans="1:13" ht="20.25" customHeight="1">
      <c r="A3" s="59" t="s">
        <v>34</v>
      </c>
      <c r="B3" s="80" t="s">
        <v>79</v>
      </c>
      <c r="C3" s="66"/>
      <c r="D3" s="81"/>
      <c r="E3" s="81"/>
      <c r="F3" s="81"/>
      <c r="G3" s="48"/>
      <c r="I3" s="10" t="s">
        <v>34</v>
      </c>
      <c r="J3" s="137" t="s">
        <v>226</v>
      </c>
      <c r="K3" s="148"/>
      <c r="L3" s="101"/>
      <c r="M3" s="137"/>
    </row>
    <row r="4" spans="1:13" ht="39" customHeight="1">
      <c r="A4" s="36">
        <v>1</v>
      </c>
      <c r="B4" s="38" t="s">
        <v>80</v>
      </c>
      <c r="C4" s="96" t="s">
        <v>121</v>
      </c>
      <c r="D4" s="96" t="s">
        <v>121</v>
      </c>
      <c r="E4" s="33">
        <f>0.2*0.055</f>
        <v>1.1000000000000001E-2</v>
      </c>
      <c r="F4" s="53">
        <f>IF(C4="0 - not considered at all",0*$E4,IF(C4="1 -  planned, not implemented",$E4/3,IF(C4="2 - partially implemented",2*$E4/3,$E4)))</f>
        <v>0</v>
      </c>
      <c r="G4" s="54">
        <f>IF(D4="0 - not considered at all",0*$E4,IF(D4="1 -  planned, not implemented",$E4/3,IF(D4="2 - partially implemented",2*$E4/3,$E4)))</f>
        <v>0</v>
      </c>
      <c r="J4" s="147"/>
      <c r="K4" s="148"/>
      <c r="L4" s="102" t="s">
        <v>121</v>
      </c>
      <c r="M4" s="147"/>
    </row>
    <row r="5" spans="1:13" ht="41.25" customHeight="1">
      <c r="A5" s="36">
        <v>2</v>
      </c>
      <c r="B5" s="38" t="s">
        <v>89</v>
      </c>
      <c r="C5" s="96" t="s">
        <v>124</v>
      </c>
      <c r="D5" s="96" t="s">
        <v>121</v>
      </c>
      <c r="E5" s="33">
        <f t="shared" ref="E5:E8" si="0">0.2*0.055</f>
        <v>1.1000000000000001E-2</v>
      </c>
      <c r="F5" s="53">
        <f t="shared" ref="F5:F8" si="1">IF(C5="0 - not considered at all",0*$E5,IF(C5="1 -  planned, not implemented",$E5/3,IF(C5="2 - partially implemented",2*$E5/3,$E5)))</f>
        <v>1.1000000000000001E-2</v>
      </c>
      <c r="G5" s="54">
        <f t="shared" ref="G5:G8" si="2">IF(D5="0 - not considered at all",0*$E5,IF(D5="1 -  planned, not implemented",$E5/3,IF(D5="2 - partially implemented",2*$E5/3,$E5)))</f>
        <v>0</v>
      </c>
      <c r="J5" s="147"/>
      <c r="K5" s="148"/>
      <c r="L5" s="102" t="s">
        <v>122</v>
      </c>
      <c r="M5" s="147"/>
    </row>
    <row r="6" spans="1:13" ht="30" customHeight="1">
      <c r="A6" s="36">
        <v>3</v>
      </c>
      <c r="B6" s="38" t="s">
        <v>85</v>
      </c>
      <c r="C6" s="96" t="s">
        <v>122</v>
      </c>
      <c r="D6" s="96" t="s">
        <v>121</v>
      </c>
      <c r="E6" s="33">
        <f t="shared" si="0"/>
        <v>1.1000000000000001E-2</v>
      </c>
      <c r="F6" s="53">
        <f t="shared" si="1"/>
        <v>3.666666666666667E-3</v>
      </c>
      <c r="G6" s="54">
        <f t="shared" si="2"/>
        <v>0</v>
      </c>
      <c r="J6" s="147"/>
      <c r="K6" s="148"/>
      <c r="L6" s="102" t="s">
        <v>123</v>
      </c>
      <c r="M6" s="147"/>
    </row>
    <row r="7" spans="1:13" ht="26.25" customHeight="1">
      <c r="A7" s="36">
        <v>4</v>
      </c>
      <c r="B7" s="38" t="s">
        <v>90</v>
      </c>
      <c r="C7" s="96" t="s">
        <v>122</v>
      </c>
      <c r="D7" s="96" t="s">
        <v>121</v>
      </c>
      <c r="E7" s="33">
        <f t="shared" si="0"/>
        <v>1.1000000000000001E-2</v>
      </c>
      <c r="F7" s="53">
        <f t="shared" si="1"/>
        <v>3.666666666666667E-3</v>
      </c>
      <c r="G7" s="54">
        <f t="shared" si="2"/>
        <v>0</v>
      </c>
      <c r="J7" s="147"/>
      <c r="K7" s="148"/>
      <c r="L7" s="102" t="s">
        <v>124</v>
      </c>
      <c r="M7" s="147"/>
    </row>
    <row r="8" spans="1:13" ht="25.5">
      <c r="A8" s="36">
        <v>5</v>
      </c>
      <c r="B8" s="39" t="s">
        <v>91</v>
      </c>
      <c r="C8" s="96" t="s">
        <v>122</v>
      </c>
      <c r="D8" s="96" t="s">
        <v>121</v>
      </c>
      <c r="E8" s="33">
        <f t="shared" si="0"/>
        <v>1.1000000000000001E-2</v>
      </c>
      <c r="F8" s="53">
        <f t="shared" si="1"/>
        <v>3.666666666666667E-3</v>
      </c>
      <c r="G8" s="54">
        <f t="shared" si="2"/>
        <v>0</v>
      </c>
      <c r="J8" s="147"/>
      <c r="K8" s="149"/>
      <c r="L8" s="101"/>
      <c r="M8" s="147"/>
    </row>
    <row r="9" spans="1:13" ht="17.25" customHeight="1">
      <c r="A9" s="36" t="s">
        <v>8</v>
      </c>
      <c r="B9" s="13"/>
      <c r="C9" s="140" t="s">
        <v>185</v>
      </c>
      <c r="D9" s="141"/>
      <c r="E9" s="142"/>
      <c r="F9" s="79">
        <f>SUM(F4:F8)</f>
        <v>2.1999999999999999E-2</v>
      </c>
      <c r="G9" s="79">
        <f>SUM(G4:G8)</f>
        <v>0</v>
      </c>
      <c r="H9" s="69" t="s">
        <v>199</v>
      </c>
      <c r="I9" s="71"/>
      <c r="J9" s="82"/>
      <c r="K9" s="82"/>
      <c r="L9" s="82"/>
      <c r="M9" s="82"/>
    </row>
    <row r="10" spans="1:13">
      <c r="A10" s="35" t="s">
        <v>35</v>
      </c>
      <c r="B10" s="86" t="s">
        <v>81</v>
      </c>
      <c r="C10" s="66"/>
      <c r="D10" s="81"/>
      <c r="E10" s="81"/>
      <c r="F10" s="81"/>
      <c r="G10" s="48"/>
      <c r="I10" s="10" t="s">
        <v>35</v>
      </c>
      <c r="J10" s="145" t="s">
        <v>227</v>
      </c>
      <c r="K10" s="145"/>
      <c r="L10" s="99"/>
      <c r="M10" s="145"/>
    </row>
    <row r="11" spans="1:13" ht="25.5">
      <c r="A11" s="36">
        <v>1</v>
      </c>
      <c r="B11" s="38" t="s">
        <v>92</v>
      </c>
      <c r="C11" s="96" t="s">
        <v>124</v>
      </c>
      <c r="D11" s="96" t="s">
        <v>121</v>
      </c>
      <c r="E11" s="12">
        <f>0.25*0.055</f>
        <v>1.375E-2</v>
      </c>
      <c r="F11" s="53">
        <f t="shared" ref="F11:G13" si="3">IF(C11="0 - not considered at all",0*$E11,IF(C11="1 -  planned, not implemented",$E11/3,IF(C11="2 - partially implemented",2*$E11/3,$E11)))</f>
        <v>1.375E-2</v>
      </c>
      <c r="G11" s="54">
        <f t="shared" si="3"/>
        <v>0</v>
      </c>
      <c r="J11" s="145"/>
      <c r="K11" s="145"/>
      <c r="L11" s="99"/>
      <c r="M11" s="145"/>
    </row>
    <row r="12" spans="1:13" ht="25.5">
      <c r="A12" s="36">
        <v>2</v>
      </c>
      <c r="B12" s="38" t="s">
        <v>95</v>
      </c>
      <c r="C12" s="96" t="s">
        <v>121</v>
      </c>
      <c r="D12" s="96" t="s">
        <v>121</v>
      </c>
      <c r="E12" s="76">
        <f>0.25*0.055</f>
        <v>1.375E-2</v>
      </c>
      <c r="F12" s="53">
        <f t="shared" si="3"/>
        <v>0</v>
      </c>
      <c r="G12" s="54">
        <f t="shared" si="3"/>
        <v>0</v>
      </c>
      <c r="J12" s="145"/>
      <c r="K12" s="145"/>
      <c r="L12" s="99"/>
      <c r="M12" s="145"/>
    </row>
    <row r="13" spans="1:13" ht="25.5">
      <c r="A13" s="36">
        <v>3</v>
      </c>
      <c r="B13" s="38" t="s">
        <v>115</v>
      </c>
      <c r="C13" s="96" t="s">
        <v>121</v>
      </c>
      <c r="D13" s="96" t="s">
        <v>121</v>
      </c>
      <c r="E13" s="12">
        <f>0.5*0.055</f>
        <v>2.75E-2</v>
      </c>
      <c r="F13" s="53">
        <f t="shared" si="3"/>
        <v>0</v>
      </c>
      <c r="G13" s="54">
        <f t="shared" si="3"/>
        <v>0</v>
      </c>
      <c r="J13" s="145"/>
      <c r="K13" s="145"/>
      <c r="L13" s="99"/>
      <c r="M13" s="145"/>
    </row>
    <row r="14" spans="1:13">
      <c r="A14" s="36" t="s">
        <v>8</v>
      </c>
      <c r="B14" s="13"/>
      <c r="C14" s="140" t="s">
        <v>186</v>
      </c>
      <c r="D14" s="141"/>
      <c r="E14" s="142"/>
      <c r="F14" s="79">
        <f>SUM(F11:F13)</f>
        <v>1.375E-2</v>
      </c>
      <c r="G14" s="79">
        <f>SUM(G11:G13)</f>
        <v>0</v>
      </c>
      <c r="H14" s="69" t="s">
        <v>199</v>
      </c>
      <c r="I14" s="71"/>
      <c r="J14" s="82"/>
      <c r="K14" s="82"/>
      <c r="L14" s="82"/>
      <c r="M14" s="82"/>
    </row>
    <row r="15" spans="1:13">
      <c r="A15" s="35" t="s">
        <v>117</v>
      </c>
      <c r="B15" s="92" t="s">
        <v>83</v>
      </c>
      <c r="C15" s="66"/>
      <c r="D15" s="81"/>
      <c r="E15" s="81"/>
      <c r="F15" s="81"/>
      <c r="G15" s="48"/>
      <c r="I15" s="10" t="s">
        <v>117</v>
      </c>
      <c r="J15" s="145" t="s">
        <v>228</v>
      </c>
      <c r="K15" s="145" t="s">
        <v>139</v>
      </c>
      <c r="L15" s="99"/>
      <c r="M15" s="145"/>
    </row>
    <row r="16" spans="1:13" ht="25.5">
      <c r="A16" s="36">
        <v>1</v>
      </c>
      <c r="B16" s="38" t="s">
        <v>93</v>
      </c>
      <c r="C16" s="96" t="s">
        <v>123</v>
      </c>
      <c r="D16" s="96" t="s">
        <v>121</v>
      </c>
      <c r="E16" s="12">
        <f>0.25*0.055</f>
        <v>1.375E-2</v>
      </c>
      <c r="F16" s="53">
        <f t="shared" ref="F16:G19" si="4">IF(C16="0 - not considered at all",0*$E16,IF(C16="1 -  planned, not implemented",$E16/3,IF(C16="2 - partially implemented",2*$E16/3,$E16)))</f>
        <v>9.1666666666666667E-3</v>
      </c>
      <c r="G16" s="54">
        <f t="shared" si="4"/>
        <v>0</v>
      </c>
      <c r="J16" s="145"/>
      <c r="K16" s="145"/>
      <c r="L16" s="99"/>
      <c r="M16" s="145"/>
    </row>
    <row r="17" spans="1:13" ht="25.5">
      <c r="A17" s="36">
        <v>2</v>
      </c>
      <c r="B17" s="38" t="s">
        <v>86</v>
      </c>
      <c r="C17" s="96" t="s">
        <v>123</v>
      </c>
      <c r="D17" s="96" t="s">
        <v>121</v>
      </c>
      <c r="E17" s="76">
        <f t="shared" ref="E17:E19" si="5">0.25*0.055</f>
        <v>1.375E-2</v>
      </c>
      <c r="F17" s="53">
        <f t="shared" si="4"/>
        <v>9.1666666666666667E-3</v>
      </c>
      <c r="G17" s="54">
        <f t="shared" si="4"/>
        <v>0</v>
      </c>
      <c r="J17" s="145"/>
      <c r="K17" s="145"/>
      <c r="L17" s="99"/>
      <c r="M17" s="145"/>
    </row>
    <row r="18" spans="1:13" ht="25.5">
      <c r="A18" s="36">
        <v>3</v>
      </c>
      <c r="B18" s="38" t="s">
        <v>87</v>
      </c>
      <c r="C18" s="96" t="s">
        <v>121</v>
      </c>
      <c r="D18" s="96" t="s">
        <v>121</v>
      </c>
      <c r="E18" s="76">
        <f t="shared" si="5"/>
        <v>1.375E-2</v>
      </c>
      <c r="F18" s="53">
        <f t="shared" si="4"/>
        <v>0</v>
      </c>
      <c r="G18" s="54">
        <f t="shared" si="4"/>
        <v>0</v>
      </c>
      <c r="J18" s="145"/>
      <c r="K18" s="145"/>
      <c r="L18" s="99"/>
      <c r="M18" s="145"/>
    </row>
    <row r="19" spans="1:13" ht="38.25">
      <c r="A19" s="36">
        <v>4</v>
      </c>
      <c r="B19" s="39" t="s">
        <v>114</v>
      </c>
      <c r="C19" s="96" t="s">
        <v>124</v>
      </c>
      <c r="D19" s="96" t="s">
        <v>121</v>
      </c>
      <c r="E19" s="76">
        <f t="shared" si="5"/>
        <v>1.375E-2</v>
      </c>
      <c r="F19" s="53">
        <f t="shared" si="4"/>
        <v>1.375E-2</v>
      </c>
      <c r="G19" s="54">
        <f t="shared" si="4"/>
        <v>0</v>
      </c>
      <c r="J19" s="145"/>
      <c r="K19" s="145"/>
      <c r="L19" s="99"/>
      <c r="M19" s="145"/>
    </row>
    <row r="20" spans="1:13">
      <c r="A20" s="36" t="s">
        <v>8</v>
      </c>
      <c r="B20" s="13"/>
      <c r="C20" s="140" t="s">
        <v>187</v>
      </c>
      <c r="D20" s="141"/>
      <c r="E20" s="142"/>
      <c r="F20" s="79">
        <f>SUM(F16:F19)</f>
        <v>3.2083333333333332E-2</v>
      </c>
      <c r="G20" s="79">
        <f>SUM(G16:G19)</f>
        <v>0</v>
      </c>
      <c r="H20" s="69" t="s">
        <v>199</v>
      </c>
      <c r="I20" s="71"/>
      <c r="J20" s="82"/>
      <c r="K20" s="82"/>
      <c r="L20" s="82"/>
      <c r="M20" s="82"/>
    </row>
    <row r="21" spans="1:13">
      <c r="A21" s="35" t="s">
        <v>82</v>
      </c>
      <c r="B21" s="86" t="s">
        <v>84</v>
      </c>
      <c r="C21" s="66"/>
      <c r="D21" s="81"/>
      <c r="E21" s="81"/>
      <c r="F21" s="81"/>
      <c r="G21" s="48"/>
      <c r="I21" s="10" t="s">
        <v>82</v>
      </c>
      <c r="J21" s="145"/>
      <c r="K21" s="145"/>
      <c r="L21" s="99"/>
      <c r="M21" s="145"/>
    </row>
    <row r="22" spans="1:13" ht="25.5">
      <c r="A22" s="36">
        <v>1</v>
      </c>
      <c r="B22" s="38" t="s">
        <v>88</v>
      </c>
      <c r="C22" s="96" t="s">
        <v>122</v>
      </c>
      <c r="D22" s="96" t="s">
        <v>121</v>
      </c>
      <c r="E22" s="12">
        <v>3.5000000000000003E-2</v>
      </c>
      <c r="F22" s="53">
        <f>IF(C22="0 - not considered at all",0*$E22,IF(C22="1 -  planned, not implemented",$E22/3,IF(C22="2 - partially implemented",2*$E22/3,$E22)))</f>
        <v>1.1666666666666667E-2</v>
      </c>
      <c r="G22" s="54">
        <f t="shared" ref="G22" si="6">IF(D22="0 - not considered at all",0*$E22,IF(D22="1 -  planned, not implemented",$E22/3,IF(D22="2 - partially implemented",2*$E22/3,$E22)))</f>
        <v>0</v>
      </c>
      <c r="J22" s="145"/>
      <c r="K22" s="145"/>
      <c r="L22" s="99"/>
      <c r="M22" s="145"/>
    </row>
    <row r="23" spans="1:13" ht="15.75" thickBot="1">
      <c r="A23" s="36" t="s">
        <v>8</v>
      </c>
      <c r="B23" s="13"/>
      <c r="C23" s="140" t="s">
        <v>188</v>
      </c>
      <c r="D23" s="141"/>
      <c r="E23" s="142"/>
      <c r="F23" s="79">
        <f>SUM(F22:F22)</f>
        <v>1.1666666666666667E-2</v>
      </c>
      <c r="G23" s="79">
        <f>SUM(G22)</f>
        <v>0</v>
      </c>
      <c r="H23" s="69" t="s">
        <v>200</v>
      </c>
      <c r="I23" s="71"/>
    </row>
    <row r="24" spans="1:13" ht="15.75" thickBot="1">
      <c r="D24" s="41" t="s">
        <v>180</v>
      </c>
      <c r="F24" s="78">
        <f>SUM(F9,F14,F20,F23)</f>
        <v>7.9500000000000001E-2</v>
      </c>
      <c r="G24" s="78">
        <f>SUM(G9,G14,G20,G23)</f>
        <v>0</v>
      </c>
    </row>
    <row r="25" spans="1:13">
      <c r="D25" s="42" t="s">
        <v>181</v>
      </c>
      <c r="E25" s="15"/>
      <c r="F25" s="48">
        <v>20</v>
      </c>
      <c r="G25" s="91">
        <v>20</v>
      </c>
    </row>
    <row r="27" spans="1:13" customFormat="1" ht="32.25" customHeight="1">
      <c r="A27" s="138" t="s">
        <v>153</v>
      </c>
      <c r="B27" s="138"/>
      <c r="C27" s="139" t="s">
        <v>154</v>
      </c>
      <c r="D27" s="139"/>
      <c r="E27" s="139"/>
      <c r="F27" s="139"/>
      <c r="G27" s="139"/>
      <c r="H27" s="139"/>
      <c r="I27" s="139"/>
      <c r="J27" s="47"/>
      <c r="K27" s="47"/>
    </row>
  </sheetData>
  <sheetProtection password="C7FA" sheet="1" objects="1" scenarios="1" formatRows="0"/>
  <mergeCells count="18">
    <mergeCell ref="A27:B27"/>
    <mergeCell ref="C27:I27"/>
    <mergeCell ref="C23:E23"/>
    <mergeCell ref="C9:E9"/>
    <mergeCell ref="C14:E14"/>
    <mergeCell ref="C20:E20"/>
    <mergeCell ref="J3:J8"/>
    <mergeCell ref="K3:K8"/>
    <mergeCell ref="M3:M8"/>
    <mergeCell ref="J10:J13"/>
    <mergeCell ref="K10:K13"/>
    <mergeCell ref="M10:M13"/>
    <mergeCell ref="K15:K19"/>
    <mergeCell ref="M15:M19"/>
    <mergeCell ref="J21:J22"/>
    <mergeCell ref="K21:K22"/>
    <mergeCell ref="M21:M22"/>
    <mergeCell ref="J15:J19"/>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Airina</dc:creator>
  <cp:lastModifiedBy>Estela</cp:lastModifiedBy>
  <cp:lastPrinted>2013-05-22T09:46:15Z</cp:lastPrinted>
  <dcterms:created xsi:type="dcterms:W3CDTF">2012-06-19T07:09:26Z</dcterms:created>
  <dcterms:modified xsi:type="dcterms:W3CDTF">2014-02-17T06:48:04Z</dcterms:modified>
</cp:coreProperties>
</file>