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7520" windowHeight="9132" tabRatio="794"/>
  </bookViews>
  <sheets>
    <sheet name="Assessment summary" sheetId="1" r:id="rId1"/>
    <sheet name="A - Didactical solutions" sheetId="8" r:id="rId2"/>
    <sheet name="B - Information technologies" sheetId="4" r:id="rId3"/>
    <sheet name="C - Structure and design" sheetId="10" r:id="rId4"/>
    <sheet name="D - Learning organization" sheetId="11" r:id="rId5"/>
  </sheets>
  <definedNames>
    <definedName name="_xlnm.Print_Area" localSheetId="1">'A - Didactical solutions'!$A$1:$L$44</definedName>
    <definedName name="_xlnm.Print_Area" localSheetId="2">'B - Information technologies'!$A$1:$M$32</definedName>
    <definedName name="_xlnm.Print_Area" localSheetId="3">'C - Structure and design'!$A$1:$M$37</definedName>
    <definedName name="_xlnm.Print_Area" localSheetId="4">'D - Learning organization'!$A$1:$M$25</definedName>
    <definedName name="_xlnm.Print_Titles" localSheetId="1">'A - Didactical solutions'!$1:$2</definedName>
    <definedName name="_xlnm.Print_Titles" localSheetId="2">'B - Information technologies'!$1:$2</definedName>
    <definedName name="_xlnm.Print_Titles" localSheetId="3">'C - Structure and design'!$1:$2</definedName>
    <definedName name="_xlnm.Print_Titles" localSheetId="4">'D - Learning organization'!$1:$2</definedName>
  </definedNames>
  <calcPr calcId="125725"/>
</workbook>
</file>

<file path=xl/calcChain.xml><?xml version="1.0" encoding="utf-8"?>
<calcChain xmlns="http://schemas.openxmlformats.org/spreadsheetml/2006/main">
  <c r="G22" i="11"/>
  <c r="E19"/>
  <c r="G19"/>
  <c r="E18"/>
  <c r="G18"/>
  <c r="E17"/>
  <c r="G17"/>
  <c r="E16"/>
  <c r="G16"/>
  <c r="E13"/>
  <c r="G13"/>
  <c r="E12"/>
  <c r="G12"/>
  <c r="E11"/>
  <c r="G11"/>
  <c r="E5"/>
  <c r="G5"/>
  <c r="E6"/>
  <c r="G6"/>
  <c r="E7"/>
  <c r="G7"/>
  <c r="E8"/>
  <c r="G8"/>
  <c r="E4"/>
  <c r="G4"/>
  <c r="E34" i="10"/>
  <c r="G34"/>
  <c r="E33"/>
  <c r="G33"/>
  <c r="E30"/>
  <c r="G30"/>
  <c r="E29"/>
  <c r="G29"/>
  <c r="E28"/>
  <c r="G28"/>
  <c r="E25"/>
  <c r="G25"/>
  <c r="E24"/>
  <c r="G24"/>
  <c r="E21"/>
  <c r="G21"/>
  <c r="E20"/>
  <c r="G20"/>
  <c r="E19"/>
  <c r="G19"/>
  <c r="E18"/>
  <c r="G18"/>
  <c r="E17"/>
  <c r="G17"/>
  <c r="E14"/>
  <c r="G14"/>
  <c r="E13"/>
  <c r="G13"/>
  <c r="E12"/>
  <c r="G12"/>
  <c r="E11"/>
  <c r="G11"/>
  <c r="E5"/>
  <c r="G5"/>
  <c r="E6"/>
  <c r="G6"/>
  <c r="E7"/>
  <c r="G7"/>
  <c r="E8"/>
  <c r="G8"/>
  <c r="E4"/>
  <c r="G4"/>
  <c r="F22" i="11"/>
  <c r="F23"/>
  <c r="F18"/>
  <c r="G23"/>
  <c r="F19"/>
  <c r="F17"/>
  <c r="F16"/>
  <c r="F20" s="1"/>
  <c r="F13"/>
  <c r="F12"/>
  <c r="F14" s="1"/>
  <c r="F11"/>
  <c r="F5"/>
  <c r="F6"/>
  <c r="F7"/>
  <c r="F8"/>
  <c r="F4"/>
  <c r="E29" i="4"/>
  <c r="E28"/>
  <c r="F28" s="1"/>
  <c r="F30" s="1"/>
  <c r="E25"/>
  <c r="E24"/>
  <c r="G24" s="1"/>
  <c r="G26" s="1"/>
  <c r="E21"/>
  <c r="E20"/>
  <c r="G20" s="1"/>
  <c r="G22" s="1"/>
  <c r="E17"/>
  <c r="E16"/>
  <c r="F16" s="1"/>
  <c r="F18" s="1"/>
  <c r="E15"/>
  <c r="G35" i="10"/>
  <c r="F33"/>
  <c r="F34"/>
  <c r="F35" s="1"/>
  <c r="G20" i="11"/>
  <c r="G9"/>
  <c r="G24" s="1"/>
  <c r="J28" i="1" s="1"/>
  <c r="G14" i="11"/>
  <c r="F9"/>
  <c r="F24" s="1"/>
  <c r="J21" i="1" s="1"/>
  <c r="E12" i="4"/>
  <c r="F12" s="1"/>
  <c r="E11"/>
  <c r="G11"/>
  <c r="E10"/>
  <c r="E9"/>
  <c r="G9" s="1"/>
  <c r="G13" s="1"/>
  <c r="G29"/>
  <c r="F29"/>
  <c r="G28"/>
  <c r="G30" s="1"/>
  <c r="G25"/>
  <c r="F25"/>
  <c r="G21"/>
  <c r="F21"/>
  <c r="F20"/>
  <c r="F22" s="1"/>
  <c r="G17"/>
  <c r="F17"/>
  <c r="G16"/>
  <c r="G15"/>
  <c r="G18" s="1"/>
  <c r="F15"/>
  <c r="G12"/>
  <c r="G10"/>
  <c r="F10"/>
  <c r="E6"/>
  <c r="G6" s="1"/>
  <c r="E5"/>
  <c r="G5" s="1"/>
  <c r="E4"/>
  <c r="G4" s="1"/>
  <c r="G7" s="1"/>
  <c r="G31" s="1"/>
  <c r="J26" i="1" s="1"/>
  <c r="F4" i="4"/>
  <c r="E39" i="8"/>
  <c r="F39"/>
  <c r="E40"/>
  <c r="F40"/>
  <c r="E41"/>
  <c r="F41"/>
  <c r="E42"/>
  <c r="F42"/>
  <c r="E35"/>
  <c r="E34"/>
  <c r="E36"/>
  <c r="E33"/>
  <c r="F33" s="1"/>
  <c r="F37" s="1"/>
  <c r="E32"/>
  <c r="F36"/>
  <c r="F35"/>
  <c r="F34"/>
  <c r="F32"/>
  <c r="E29"/>
  <c r="F29"/>
  <c r="E28"/>
  <c r="F28"/>
  <c r="E27"/>
  <c r="F27"/>
  <c r="F30" s="1"/>
  <c r="E24"/>
  <c r="E23"/>
  <c r="G23" s="1"/>
  <c r="E22"/>
  <c r="E19"/>
  <c r="G19" s="1"/>
  <c r="E20"/>
  <c r="G20" s="1"/>
  <c r="E21"/>
  <c r="G21"/>
  <c r="E18"/>
  <c r="E17"/>
  <c r="G17" s="1"/>
  <c r="F24"/>
  <c r="G42"/>
  <c r="G41"/>
  <c r="G40"/>
  <c r="G39"/>
  <c r="G36"/>
  <c r="G35"/>
  <c r="G34"/>
  <c r="G32"/>
  <c r="G29"/>
  <c r="G28"/>
  <c r="G30" s="1"/>
  <c r="G27"/>
  <c r="G24"/>
  <c r="G22"/>
  <c r="G18"/>
  <c r="F23"/>
  <c r="F22"/>
  <c r="F21"/>
  <c r="F19"/>
  <c r="F18"/>
  <c r="F17"/>
  <c r="E13"/>
  <c r="G13"/>
  <c r="E12"/>
  <c r="G12"/>
  <c r="E11"/>
  <c r="G11"/>
  <c r="E9"/>
  <c r="G9"/>
  <c r="G15" s="1"/>
  <c r="E14"/>
  <c r="G14"/>
  <c r="E10"/>
  <c r="G10"/>
  <c r="F14"/>
  <c r="F13"/>
  <c r="F12"/>
  <c r="F11"/>
  <c r="F10"/>
  <c r="F9"/>
  <c r="F11" i="4"/>
  <c r="F6"/>
  <c r="G43" i="8"/>
  <c r="F15"/>
  <c r="F30" i="10"/>
  <c r="F28"/>
  <c r="F21"/>
  <c r="F17"/>
  <c r="F29"/>
  <c r="F31" s="1"/>
  <c r="F19"/>
  <c r="F22" s="1"/>
  <c r="F25"/>
  <c r="G26"/>
  <c r="G15"/>
  <c r="F11"/>
  <c r="F15" s="1"/>
  <c r="F36" s="1"/>
  <c r="J20" i="1" s="1"/>
  <c r="F18" i="10"/>
  <c r="F20"/>
  <c r="G22"/>
  <c r="F24"/>
  <c r="G31"/>
  <c r="F26"/>
  <c r="F6"/>
  <c r="F8"/>
  <c r="F7"/>
  <c r="F4"/>
  <c r="E9"/>
  <c r="F5"/>
  <c r="G9"/>
  <c r="G36" s="1"/>
  <c r="J27" i="1" s="1"/>
  <c r="F14" i="10"/>
  <c r="F13"/>
  <c r="F12"/>
  <c r="E6" i="8"/>
  <c r="G6" s="1"/>
  <c r="E5"/>
  <c r="G5" s="1"/>
  <c r="E4"/>
  <c r="G4" s="1"/>
  <c r="F9" i="10"/>
  <c r="F5" i="8"/>
  <c r="F4"/>
  <c r="F43"/>
  <c r="G7" l="1"/>
  <c r="G25"/>
  <c r="F6"/>
  <c r="F7" s="1"/>
  <c r="F44" s="1"/>
  <c r="J18" i="1" s="1"/>
  <c r="J16" s="1"/>
  <c r="F5" i="4"/>
  <c r="F7" s="1"/>
  <c r="F31" s="1"/>
  <c r="J19" i="1" s="1"/>
  <c r="F9" i="4"/>
  <c r="F13" s="1"/>
  <c r="F20" i="8"/>
  <c r="F25" s="1"/>
  <c r="G33"/>
  <c r="G37" s="1"/>
  <c r="F24" i="4"/>
  <c r="F26" s="1"/>
  <c r="G44" i="8" l="1"/>
  <c r="J25" i="1" s="1"/>
  <c r="J23" s="1"/>
</calcChain>
</file>

<file path=xl/comments1.xml><?xml version="1.0" encoding="utf-8"?>
<comments xmlns="http://schemas.openxmlformats.org/spreadsheetml/2006/main">
  <authors>
    <author>Windows User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b/>
            <sz val="9"/>
            <color indexed="81"/>
            <rFont val="Tahoma"/>
            <family val="2"/>
          </rPr>
          <t>Guidance on how to meet the sub-criterion:</t>
        </r>
        <r>
          <rPr>
            <sz val="9"/>
            <color indexed="81"/>
            <rFont val="Tahoma"/>
            <family val="2"/>
          </rPr>
          <t xml:space="preserve">
The best way to ask student to present themselves using various ICT tools is to provide teacher presentation using ICT tools. The template for the necessary information to be provided for learners presentations could also be provided.</t>
        </r>
      </text>
    </comment>
    <comment ref="B5" authorId="0">
      <text>
        <r>
          <rPr>
            <b/>
            <sz val="9"/>
            <color indexed="81"/>
            <rFont val="Tahoma"/>
            <family val="2"/>
          </rPr>
          <t>Guidance on how to meet the sub-criterion:</t>
        </r>
        <r>
          <rPr>
            <sz val="9"/>
            <color indexed="81"/>
            <rFont val="Tahoma"/>
            <family val="2"/>
          </rPr>
          <t xml:space="preserve">
The best way to ask students to present themselves using various ICT tools is to provide teacher presentation using ICT tools. For this purpose Moodle profile could be used. Teacher presentation may also be implemented via personal webpages or blogs, however the teacher course presentation should be short and easy to find. The teacher photo in the profile or presentation profile makes it more attractive and useful for students.</t>
        </r>
      </text>
    </comment>
    <comment ref="B6" authorId="0">
      <text>
        <r>
          <rPr>
            <sz val="9"/>
            <color indexed="81"/>
            <rFont val="Tahoma"/>
            <family val="2"/>
          </rPr>
          <t xml:space="preserve">Discussions tools are necessary for providing important imformation for students and vice versa.  It may be a forum, wikis or other tools that enable discussions. 
</t>
        </r>
        <r>
          <rPr>
            <b/>
            <sz val="9"/>
            <color indexed="81"/>
            <rFont val="Tahoma"/>
            <family val="2"/>
          </rPr>
          <t>Guidance on how to meet the sub-criterion:</t>
        </r>
        <r>
          <rPr>
            <sz val="9"/>
            <color indexed="81"/>
            <rFont val="Tahoma"/>
            <family val="2"/>
          </rPr>
          <t xml:space="preserve">
Teacher information forum may be used for teacher announcements or important messages for students. As forums in VME are usually connected to the emails (various subsciption possibilities depesnt on the teacher, user and chosen environment), the possibility provides users to follow the discussions via their own email. 
Discussion forums for students may be used for different purposes. First, they can be used for organizational issues - usually there are some common questions that the answers are important for all students. So the organizational issues forum may be used for teacher instead of writing the same type of emails for learners. This kind of forums also provide possibilities for learners to react and answer the questions raised by other learners. Second, the forums may be used for certain activities, i.e. certain topic discussions. Third they may be used for learner feedback.
Wiki maybe used for collaborative group work and discussions.</t>
        </r>
      </text>
    </comment>
    <comment ref="B7" authorId="0">
      <text>
        <r>
          <rPr>
            <sz val="9"/>
            <color indexed="81"/>
            <rFont val="Tahoma"/>
            <family val="2"/>
          </rPr>
          <t xml:space="preserve">Interaction between learner and teacher may take place at the traditional teaching/learning environment and/or in virtual environment via audio/video/web conferencing tools.
</t>
        </r>
        <r>
          <rPr>
            <b/>
            <sz val="9"/>
            <color indexed="81"/>
            <rFont val="Tahoma"/>
            <family val="2"/>
          </rPr>
          <t xml:space="preserve">Guidance on how to meet the sub-criterion:
</t>
        </r>
        <r>
          <rPr>
            <sz val="9"/>
            <color indexed="81"/>
            <rFont val="Tahoma"/>
            <family val="2"/>
          </rPr>
          <t xml:space="preserve">Learners should be provided with certain dates and times for face to face or virtual meetings/consultations. For virtual consultations connection links and/or connection steps should be easily found.
</t>
        </r>
      </text>
    </comment>
    <comment ref="B8" authorId="0">
      <text>
        <r>
          <rPr>
            <sz val="9"/>
            <color indexed="81"/>
            <rFont val="Tahoma"/>
            <family val="2"/>
          </rPr>
          <t xml:space="preserve">Teacher email as contact details should be provided for learners.
</t>
        </r>
        <r>
          <rPr>
            <b/>
            <sz val="9"/>
            <color indexed="81"/>
            <rFont val="Tahoma"/>
            <family val="2"/>
          </rPr>
          <t>Guidance on how to meet the sub-criterion:</t>
        </r>
        <r>
          <rPr>
            <sz val="9"/>
            <color indexed="81"/>
            <rFont val="Tahoma"/>
            <family val="2"/>
          </rPr>
          <t xml:space="preserve">
It should be stated for learners how often does the teacher respond to students emails so the learners do not accept answer is given very promptly.</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<sst xmlns="http://schemas.openxmlformats.org/spreadsheetml/2006/main" count="547" uniqueCount="267">
  <si>
    <t>Target institution/ group</t>
  </si>
  <si>
    <t xml:space="preserve">The process description on how the criteria can be used in institutional/ target </t>
  </si>
  <si>
    <t xml:space="preserve">OVERALL RESULT (GENERATED FROM ALL CRITERIA GROUP) </t>
  </si>
  <si>
    <t>A1</t>
  </si>
  <si>
    <t>A2</t>
  </si>
  <si>
    <t>A3</t>
  </si>
  <si>
    <t>A4</t>
  </si>
  <si>
    <t>A5</t>
  </si>
  <si>
    <t>n</t>
  </si>
  <si>
    <t>Weight</t>
  </si>
  <si>
    <t>Variety of learning methods used</t>
  </si>
  <si>
    <t>Experiential validity ensured (practical application to professional practices)</t>
  </si>
  <si>
    <t>Result</t>
  </si>
  <si>
    <t>B. INFORMATION TECHNOLOGIES</t>
  </si>
  <si>
    <t>C. OVERALL STRUCTURE, LANGUAGE AND DESIGN</t>
  </si>
  <si>
    <t>HE and VET institutions working on technology enhanced learing and teaching curriculum designing</t>
  </si>
  <si>
    <t>B1</t>
  </si>
  <si>
    <t>Publishing tools</t>
  </si>
  <si>
    <t>Each participant has his/her profile and participates in the activity through his/her own account.</t>
  </si>
  <si>
    <t>Assesment, self-assesment and assignment tools</t>
  </si>
  <si>
    <t>B2</t>
  </si>
  <si>
    <t>B3</t>
  </si>
  <si>
    <t>B4</t>
  </si>
  <si>
    <t>B5</t>
  </si>
  <si>
    <t>A glossary is provided and is implemented with the learning environment tools</t>
  </si>
  <si>
    <t>B6</t>
  </si>
  <si>
    <t>C1</t>
  </si>
  <si>
    <t>Soundness, clarity of writing, grammar</t>
  </si>
  <si>
    <t>C2</t>
  </si>
  <si>
    <t>Clarity of organization and suitability for the target group</t>
  </si>
  <si>
    <t>Learners are informed about content pre-requisites for learning</t>
  </si>
  <si>
    <t>Learners are informed about technical pre-requisites for learning</t>
  </si>
  <si>
    <t>C4</t>
  </si>
  <si>
    <t>C5</t>
  </si>
  <si>
    <t>D1</t>
  </si>
  <si>
    <t>D2</t>
  </si>
  <si>
    <t>Definition of competences and learning objectives is measurable</t>
  </si>
  <si>
    <t>Assessment strategies clearly and measurably presented</t>
  </si>
  <si>
    <t>Open Educational Resources used and learners encouraged to re-use them</t>
  </si>
  <si>
    <t>Assignment description clear and to the point</t>
  </si>
  <si>
    <t>A6</t>
  </si>
  <si>
    <t>A.  DIDACTICAL PART</t>
  </si>
  <si>
    <t>D. LEARNING ORGANIZATION AND INTERACTIVITY</t>
  </si>
  <si>
    <t>Learning objectives are formulated in a measurable way and are presented for learners.</t>
  </si>
  <si>
    <t>Learners are encouraged to search for and re-use OER respecting their licences.</t>
  </si>
  <si>
    <t>Learning objectives and learning outcomes are formulated on the basis of competences.</t>
  </si>
  <si>
    <t>There is a variety of learning methods used in curriculum.</t>
  </si>
  <si>
    <t>The variety of learning methods allows active and passive learning.</t>
  </si>
  <si>
    <t>The variety of learning methods supports individual and group work.</t>
  </si>
  <si>
    <t>The variety of learning methods supports task differentiation (e.g. mandatory and supplementary tasks and resources)</t>
  </si>
  <si>
    <t>Learning methods used support ceativity and critical thinking skill development</t>
  </si>
  <si>
    <t>Assignment evaluation criteria are indicated under each assignment description.</t>
  </si>
  <si>
    <t>Assignment performance schedule and expected outcomes are clearly described.</t>
  </si>
  <si>
    <t>Overall assessment strategy is clearly presented in the syllabus.</t>
  </si>
  <si>
    <t>Assessment criteria are measurable and clear in terms of grading (weight and summative evaluation).</t>
  </si>
  <si>
    <t>Learners have a possibility to discuss and suggest assessment strategy improvement.</t>
  </si>
  <si>
    <t>Metacognitive tools for progress assessment are used in curriculum.</t>
  </si>
  <si>
    <t>Self-assessment tools are used.</t>
  </si>
  <si>
    <t>Feedback and discussion of learning results is organized.</t>
  </si>
  <si>
    <t>Various assessment strategies, tools and assignments are used for learning result evaluation.</t>
  </si>
  <si>
    <t>Portfolio opition is used and/ or assignments can be exported to personal portfolio after learning.</t>
  </si>
  <si>
    <t>Curriculum licencing is enabled in virtual learning environment and copy-right issues are clearly indicated.</t>
  </si>
  <si>
    <t>Learning objectives are inline with the learning outcomes are presented in each learning assignment.</t>
  </si>
  <si>
    <t>Tasks and assignments are related with professional activities and application of learning results in practice.</t>
  </si>
  <si>
    <t>Learners are involved in active practical training and application of learning results in real-life situations.</t>
  </si>
  <si>
    <t>Practical tasks are related or require exploration, knowledge and/ or information from employers and their staff , as well as contextualization of assignment results in real-life situations.</t>
  </si>
  <si>
    <t>Learning objectives are presented in synergy with learning resources, tasks and learning outcomes.</t>
  </si>
  <si>
    <t>Open educational resources (in multi-media format) are used in curriculum</t>
  </si>
  <si>
    <t>Consultations and/ or interviews or/and (online) meetings with employers are organized during the learning.</t>
  </si>
  <si>
    <t>Target group's learning needs are considered in the design of the curriculum</t>
  </si>
  <si>
    <t>The curriculum workload is consistent with the target group's requirements.</t>
  </si>
  <si>
    <t>General esthetics</t>
  </si>
  <si>
    <t>Copyright issues</t>
  </si>
  <si>
    <t>C6</t>
  </si>
  <si>
    <t>Logical structure and flexible learning path possibility</t>
  </si>
  <si>
    <t xml:space="preserve">  </t>
  </si>
  <si>
    <t>Navigation and external links</t>
  </si>
  <si>
    <t>Glossary of terms</t>
  </si>
  <si>
    <t>Recorded lectures and tools to support virtual classroom</t>
  </si>
  <si>
    <t>Interactivity</t>
  </si>
  <si>
    <t>Students are encouraged to present temselves using various ICT tools (i.e. Moodle profile or other profiles)</t>
  </si>
  <si>
    <t>Learning support, eTutoring</t>
  </si>
  <si>
    <t>D4</t>
  </si>
  <si>
    <t>Workload and schedule</t>
  </si>
  <si>
    <t>Learner feedback</t>
  </si>
  <si>
    <t>Discussion or other collaborative tools are planned to use</t>
  </si>
  <si>
    <t>The schedule of meetings/lectures or consultations is provided</t>
  </si>
  <si>
    <t>The schedule of assignments is provided</t>
  </si>
  <si>
    <t>Learner feedback possibility is planned</t>
  </si>
  <si>
    <t>Course teacher presents him/herself for the students using various ICT tools (i.e. Moodle or other profiles)</t>
  </si>
  <si>
    <t>Synchronous communication is used</t>
  </si>
  <si>
    <t>Asynchronous communication</t>
  </si>
  <si>
    <t>Pedagogical help information is provided</t>
  </si>
  <si>
    <t>Curriculum workload is based on ECTS credits/ or competences</t>
  </si>
  <si>
    <t>Bibliography and study resources</t>
  </si>
  <si>
    <t>Technical help information is provided</t>
  </si>
  <si>
    <t>max 30</t>
  </si>
  <si>
    <t>max 20</t>
  </si>
  <si>
    <t>Steps necessary to implement each assignment  (or recommended strategy) are suggested.</t>
  </si>
  <si>
    <t>Tools to implement each assignment  (or recommended stratedy) are suggested.</t>
  </si>
  <si>
    <t>CRITERIA GROUP A.  DIDACTICAL/ PEDAGOGICAL PART (A1 - A6)</t>
  </si>
  <si>
    <t>CRITERIA GROUP B. INFORMATION TECHNOLOGIES (B1 - B6)</t>
  </si>
  <si>
    <t>General navigational structure of the course  is clear</t>
  </si>
  <si>
    <t>Funcionality of links and external resources work well</t>
  </si>
  <si>
    <t>Design elements are selected adequately</t>
  </si>
  <si>
    <t>Reading materials are published in a browser friendly format which does not require a special software to be installed on a client computer.</t>
  </si>
  <si>
    <t>Learning activities are implemented using standard supported or VLE application tools</t>
  </si>
  <si>
    <t>Materials are supposed to be read online. The amount of text does not exceeds two - three screens.</t>
  </si>
  <si>
    <t>Group work and active learning tools employed</t>
  </si>
  <si>
    <t>Discussions, projects, case studies and other activities are implemented using graded discussion tools, journals, wikis, blogs, et al.</t>
  </si>
  <si>
    <t>Assessment tools available through the VLE or compatible with it are used to implement assessment and self-assesment tasks and learning result assessment</t>
  </si>
  <si>
    <t>Terms are automatically linked with glossary from the resources</t>
  </si>
  <si>
    <t>Virtual real - time online meetings and online classroom activities are enabled for learning.</t>
  </si>
  <si>
    <t>Lecture/ theoretical records are provided. Records are in a proper format, easy to open and access. The records contain simultanously transmitted sound, slides and/or video.</t>
  </si>
  <si>
    <t>Learning hours, topics and tasks are distributed equally in the curriculum and adequately to the time required</t>
  </si>
  <si>
    <t>Curriculum organization/ learner guide is provided</t>
  </si>
  <si>
    <t>C3</t>
  </si>
  <si>
    <t>D3</t>
  </si>
  <si>
    <t>Level of implementation</t>
  </si>
  <si>
    <r>
      <t>Indicate how this criterion is met in your case - refer to evidence and provide argumentation 
(</t>
    </r>
    <r>
      <rPr>
        <b/>
        <sz val="11"/>
        <color indexed="30"/>
        <rFont val="Calibri"/>
        <family val="2"/>
      </rPr>
      <t>Column filled in by case authors, for public use</t>
    </r>
    <r>
      <rPr>
        <b/>
        <sz val="11"/>
        <color indexed="8"/>
        <rFont val="Calibri"/>
        <family val="2"/>
        <charset val="186"/>
      </rPr>
      <t>)</t>
    </r>
  </si>
  <si>
    <r>
      <t>Comments and measures for improvement 
(</t>
    </r>
    <r>
      <rPr>
        <b/>
        <sz val="11"/>
        <color indexed="30"/>
        <rFont val="Calibri"/>
        <family val="2"/>
      </rPr>
      <t>Column filled in by case authors, for public/confidential use</t>
    </r>
    <r>
      <rPr>
        <b/>
        <sz val="11"/>
        <rFont val="Calibri"/>
        <family val="2"/>
        <charset val="186"/>
      </rPr>
      <t>)</t>
    </r>
  </si>
  <si>
    <t>0 - not considered at all</t>
  </si>
  <si>
    <t>1 -  planned, not implemented</t>
  </si>
  <si>
    <t>2 - partially implemented</t>
  </si>
  <si>
    <t>3 - fully implemented</t>
  </si>
  <si>
    <t>CRITERIA GROUP D. LEARNING ORGANIZATION (D1-D4)</t>
  </si>
  <si>
    <t>CRITERIA GROUP C. OVERALL STRUCTURE, LANGUAGE AND DESIGN (C1 - C6)</t>
  </si>
  <si>
    <t>Materials can be downloaded</t>
  </si>
  <si>
    <t xml:space="preserve">Group mode is used where appropriate. Groups are created and assigned with different tasks by applying manual or auto-grouping modes. </t>
  </si>
  <si>
    <t>Feedback is provided with standard learning environment options</t>
  </si>
  <si>
    <r>
      <t>Indicate how this criterion is met in your case - refer to evidence and provide argumentation 
(</t>
    </r>
    <r>
      <rPr>
        <b/>
        <sz val="11"/>
        <color indexed="30"/>
        <rFont val="Calibri"/>
        <family val="2"/>
      </rPr>
      <t>Column filled in by case authors, 
for public use</t>
    </r>
    <r>
      <rPr>
        <b/>
        <sz val="11"/>
        <color indexed="8"/>
        <rFont val="Calibri"/>
        <family val="2"/>
        <charset val="186"/>
      </rPr>
      <t>)</t>
    </r>
  </si>
  <si>
    <t>The language of  material is clear and logic</t>
  </si>
  <si>
    <t>Sound of video and audio is clear</t>
  </si>
  <si>
    <t>The style used in curriculum meets academic standards</t>
  </si>
  <si>
    <t>The style used in curriculum should be friendly</t>
  </si>
  <si>
    <t>There are no grammar mistakes</t>
  </si>
  <si>
    <t>Media rich content is utilized with a fixed and definite purpose</t>
  </si>
  <si>
    <t>The utilization of pictures, graphs, audio, video empower implementation of the educational strategies</t>
  </si>
  <si>
    <t>Software used in the course conforms to recent standarts of version and use</t>
  </si>
  <si>
    <t xml:space="preserve"> </t>
  </si>
  <si>
    <t>Total per group C.</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</si>
  <si>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</si>
  <si>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Elements (font, format, placement, presentation, etc.) are proper and consistent</t>
  </si>
  <si>
    <t>The main important places (concepts, issues, etc.) of the curriculum material are highlighted</t>
  </si>
  <si>
    <t>The material (text, pictures, research, graphs, audio, video) of the curriculum abides by all relevant national and international legislation to content. Protected work is adequately referenced</t>
  </si>
  <si>
    <t>Notice in the curriculum  provides clear information about the affiliation and potential re-use of the curriculum</t>
  </si>
  <si>
    <t>The curriculum content is clearly represented in table of contents</t>
  </si>
  <si>
    <t>The curriculum material is organized in a logical sequence from simpler to the most complicated concepts</t>
  </si>
  <si>
    <t>The curriculum online realization ensures the possibility to individualize learning of the curriculum</t>
  </si>
  <si>
    <t>Learners are informed about compulsory and additional resources</t>
  </si>
  <si>
    <t>Learners have an access to bibliography of the curriculum</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</si>
  <si>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</si>
  <si>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</si>
  <si>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Copy right issues</t>
  </si>
  <si>
    <t>This product is released under Creative Common licence  
CC BY-NC-ND 3.0</t>
  </si>
  <si>
    <t>Lifelong Learning Program
Leonardo da Vinci Transfer of Innovation project "REVIVE VET – Review and Revive VET Practices"
 No. LLP-LDV-TOI-2011-LT-0087</t>
  </si>
  <si>
    <t>Peer Reviewer opinion of Level of Implementation</t>
  </si>
  <si>
    <t>Peer Review Result</t>
  </si>
  <si>
    <t>OVERALL RESULT AFTER PEER REVIEW</t>
  </si>
  <si>
    <t>Total per C1:</t>
  </si>
  <si>
    <t>Total per C2:</t>
  </si>
  <si>
    <t>Total per C3:</t>
  </si>
  <si>
    <t>ICT integration on Curriculum level quality criteria</t>
  </si>
  <si>
    <t>Learning method consistency with the learning objectives is clearly established and explained</t>
  </si>
  <si>
    <r>
      <t>Indicate how this criterion is met in your case - refer to evidence and provide argumentation 
(</t>
    </r>
    <r>
      <rPr>
        <b/>
        <sz val="11"/>
        <color indexed="30"/>
        <rFont val="Calibri"/>
        <family val="2"/>
      </rPr>
      <t>Column filled in by case authors</t>
    </r>
    <r>
      <rPr>
        <b/>
        <sz val="11"/>
        <rFont val="Calibri"/>
        <family val="2"/>
        <charset val="186"/>
      </rPr>
      <t>)</t>
    </r>
    <r>
      <rPr>
        <b/>
        <sz val="11"/>
        <color indexed="30"/>
        <rFont val="Calibri"/>
        <family val="2"/>
      </rPr>
      <t xml:space="preserve"> 
for public use</t>
    </r>
    <r>
      <rPr>
        <b/>
        <sz val="11"/>
        <color indexed="8"/>
        <rFont val="Calibri"/>
        <family val="2"/>
        <charset val="186"/>
      </rPr>
      <t>)</t>
    </r>
  </si>
  <si>
    <r>
      <t>Comments and measures for improvement 
(</t>
    </r>
    <r>
      <rPr>
        <b/>
        <sz val="11"/>
        <color indexed="30"/>
        <rFont val="Calibri"/>
        <family val="2"/>
      </rPr>
      <t>Column filled in by case authors</t>
    </r>
    <r>
      <rPr>
        <b/>
        <sz val="11"/>
        <rFont val="Calibri"/>
        <family val="2"/>
        <charset val="186"/>
      </rPr>
      <t>)</t>
    </r>
    <r>
      <rPr>
        <b/>
        <sz val="11"/>
        <color indexed="30"/>
        <rFont val="Calibri"/>
        <family val="2"/>
      </rPr>
      <t xml:space="preserve">
, for public/confidential use</t>
    </r>
    <r>
      <rPr>
        <b/>
        <sz val="11"/>
        <rFont val="Calibri"/>
        <family val="2"/>
        <charset val="186"/>
      </rPr>
      <t>)</t>
    </r>
  </si>
  <si>
    <t>Total per A1:</t>
  </si>
  <si>
    <t>Total per A2:</t>
  </si>
  <si>
    <t>Total per A3:</t>
  </si>
  <si>
    <t>Total per A4:</t>
  </si>
  <si>
    <t>Total per A5:</t>
  </si>
  <si>
    <t>Total per A6:</t>
  </si>
  <si>
    <t>Total per group A:</t>
  </si>
  <si>
    <r>
      <t>Comments and measures for improvement 
(</t>
    </r>
    <r>
      <rPr>
        <b/>
        <sz val="11"/>
        <color indexed="30"/>
        <rFont val="Calibri"/>
        <family val="2"/>
      </rPr>
      <t>Column filled in by case authors, for public/ confidential use</t>
    </r>
    <r>
      <rPr>
        <b/>
        <sz val="11"/>
        <rFont val="Calibri"/>
        <family val="2"/>
        <charset val="186"/>
      </rPr>
      <t>)</t>
    </r>
  </si>
  <si>
    <t>Total per B1:</t>
  </si>
  <si>
    <t>Total per B2:</t>
  </si>
  <si>
    <t>Total per B3:</t>
  </si>
  <si>
    <t>Total per group B:</t>
  </si>
  <si>
    <r>
      <t>Comments and measures for improvement 
(</t>
    </r>
    <r>
      <rPr>
        <b/>
        <sz val="11"/>
        <color indexed="30"/>
        <rFont val="Calibri"/>
        <family val="2"/>
      </rPr>
      <t>Column filled in by peer reviewers, for confidential use</t>
    </r>
    <r>
      <rPr>
        <b/>
        <sz val="11"/>
        <rFont val="Calibri"/>
        <family val="2"/>
        <charset val="186"/>
      </rPr>
      <t>)</t>
    </r>
  </si>
  <si>
    <t>Total per C4:</t>
  </si>
  <si>
    <t>Total per C5:</t>
  </si>
  <si>
    <t>Total per C6:</t>
  </si>
  <si>
    <t>Total per group D:</t>
  </si>
  <si>
    <t>Max in the group</t>
  </si>
  <si>
    <t>Total per B4:</t>
  </si>
  <si>
    <t>Total per B5:</t>
  </si>
  <si>
    <t>Total per B6:</t>
  </si>
  <si>
    <t>Total per D1:</t>
  </si>
  <si>
    <t>Total per D2:</t>
  </si>
  <si>
    <t>Total per D3:</t>
  </si>
  <si>
    <t>Total per D4:</t>
  </si>
  <si>
    <t xml:space="preserve">Minimum requirement for attestation  </t>
  </si>
  <si>
    <r>
      <t>Comments and measures for improvement 
(</t>
    </r>
    <r>
      <rPr>
        <b/>
        <sz val="11"/>
        <color indexed="30"/>
        <rFont val="Calibri"/>
        <family val="2"/>
      </rPr>
      <t>Column filled in by case authors, for public/</t>
    </r>
    <r>
      <rPr>
        <sz val="11"/>
        <color indexed="30"/>
        <rFont val="Calibri"/>
        <family val="2"/>
        <charset val="186"/>
      </rPr>
      <t>confidential</t>
    </r>
    <r>
      <rPr>
        <b/>
        <sz val="11"/>
        <color indexed="30"/>
        <rFont val="Calibri"/>
        <family val="2"/>
      </rPr>
      <t xml:space="preserve"> use</t>
    </r>
    <r>
      <rPr>
        <b/>
        <sz val="11"/>
        <rFont val="Calibri"/>
        <family val="2"/>
        <charset val="186"/>
      </rPr>
      <t>)</t>
    </r>
  </si>
  <si>
    <t>max 5</t>
  </si>
  <si>
    <t>max 4,5</t>
  </si>
  <si>
    <t>max 7,5</t>
  </si>
  <si>
    <t>max 6</t>
  </si>
  <si>
    <t>max 3</t>
  </si>
  <si>
    <t>max 4</t>
  </si>
  <si>
    <t>max 2</t>
  </si>
  <si>
    <t>max 5,5</t>
  </si>
  <si>
    <t>max 3,5</t>
  </si>
  <si>
    <t xml:space="preserve">Since the primary objective of the course is competence development, learning objectives and outcomes based on competences are extremely important and formulated in a measurable way. Unfortunately, there are no course materials available in a full-scale. </t>
  </si>
  <si>
    <t>The development of all course materials has started to improve the quality of the course.</t>
  </si>
  <si>
    <t>The lack of resources does not allow the use of a really wide choice of learning methods. Unfortunately the LMS (Moodle) does not allow the collaboration, which would be essential. Home-based learning is much more passive, F2F sessions are increasingly utilizing and based on active learning. Active learning is either individual, pair or group work.  As a course developer I tend to think that creativity and critical thinking is never fully implemented. Becasue of the workload of the course supplementary tasks are rare and much more related to the thesis.</t>
  </si>
  <si>
    <t>Since the course is being redeveloped due to basic structural changes, there are opportunities to introduce a wider scope of assessment strategies (self-assessment and portfolio among others). This has been definitely decided and planned. Much improvement is expected due to the changes in the course materials and the assessment.</t>
  </si>
  <si>
    <t>Multi-media format course materials are badly needed, however the financial resources need to be found. Learners are always encouraged to use OER. Copyright issues are always clearly indicated in all course materials and instructional aids.</t>
  </si>
  <si>
    <t xml:space="preserve">Learning assignments are designed and used in accordance with the learning outcomes (to develop and  improve the necessary skills and competences). However, because the teachers' freedom, the standard can and surely does vary. </t>
  </si>
  <si>
    <t>Since the courseis for persons who will practice mentoring in the future and mentors are not employed in each school, real-life situations and cooperation with colleagues and employers are not always possible.</t>
  </si>
  <si>
    <t xml:space="preserve">So far cntent has been much more important as mentoring in schools is a n absolutely new activity in schools, and is often interpreted differently.  </t>
  </si>
  <si>
    <t>Course materials can be downloaded and printed. Since the materials are normally much longer than a few screens, it is supposed that most learners print them and use them in this format. It is also due to the fact that most of them do not have mobile ICT tools to use.</t>
  </si>
  <si>
    <t>Because of the lack of an online format, wikis, blogs etc are not used, but are planned as soon as the technology allows it.</t>
  </si>
  <si>
    <t>No self-assessment tasks have been integrated so far, but are planned. Feedback is provided in different formats.</t>
  </si>
  <si>
    <t>Not yet introduced, but necessary and planned.</t>
  </si>
  <si>
    <t>Virtual meetings, online classroom activities are not used due to the technological limitations. Lectures (presentations) are available for the students in a format which all of the can use.</t>
  </si>
  <si>
    <t>The standard of the course materials is of key importance and paid very much atention to. No video and audio materials have been used so far.</t>
  </si>
  <si>
    <t>Since the learners work full-time and the curriculum cannot take it into consideration (cannot be shortened), the workload might be too much at times. Although the students' requirements may vary in a great deal depending on their prior knowledge, practice etc.</t>
  </si>
  <si>
    <t>The course content has been given more importance so far, consequently, the generalesthetics have been neglected.</t>
  </si>
  <si>
    <t>Copyright issues are a high priority and implemented.</t>
  </si>
  <si>
    <t>Fully implemented. It is manadatory for all teachers, tutors to provide the clear structure of the material and make it available.</t>
  </si>
  <si>
    <t>Fully implemented. It is manadatory for all teachers, tutors to provide the bibliography and make it available.</t>
  </si>
  <si>
    <t>The motivation level is high because of the certificate and the resulting higher payment category.</t>
  </si>
  <si>
    <t>The level of interactivity is too low, it needs improving. Since the motivation level of the students is very high, drop-out is rare, interactivity has not been considered essential.  However, when the students have roblems with understanding, accessing the content, it can be fully implemented.</t>
  </si>
  <si>
    <t>Course information, learning support is available and systematic.</t>
  </si>
  <si>
    <t>Fully implemented, as it is mandatory for the sake of accreditation. The schedule of meetings is provided in advance, so is the schedule of assignments. Equal distribution is always paid attention to.</t>
  </si>
  <si>
    <t>Development have to be finished</t>
  </si>
  <si>
    <t>More moodle based groupwork should be implemented</t>
  </si>
  <si>
    <t>Moodle activity training should be implemented</t>
  </si>
  <si>
    <t>learner involvment should be considered</t>
  </si>
  <si>
    <t>There should be a wider view on reviewing assesment strategies than portfolio assessment, Moodle is supporting other, like workshop mutual assessment.</t>
  </si>
  <si>
    <t>Encouragement should be enhanced by specific training of how to do so.</t>
  </si>
  <si>
    <t>A deeper understanding of OER by internal training would help</t>
  </si>
  <si>
    <t>specific assignment strategy broken down to the most typical outcomes should be implemented</t>
  </si>
  <si>
    <t>Wider use of Bloom taxonomy with worked out exampes of testing shouldbe implemented</t>
  </si>
  <si>
    <t>First time use of the course should be considered as piloting course</t>
  </si>
  <si>
    <t>First semester feedbacks should be used to enhance validity and for better contextualisation.</t>
  </si>
  <si>
    <t>The course navigation is clear.</t>
  </si>
  <si>
    <t>More on-line tools for cross referencing should be used.</t>
  </si>
  <si>
    <t>As a next step HTML format of material should be adapted.</t>
  </si>
  <si>
    <t>All parts of the course should be designed as on-line material to avoid printing.</t>
  </si>
  <si>
    <t>Technology is already there, methodological further training should be implemented</t>
  </si>
  <si>
    <t>On-line group work methods should be used.</t>
  </si>
  <si>
    <t>Moodle offers self assessment as standard at Workshops.</t>
  </si>
  <si>
    <t>Automatis self-assesment tools should be used.</t>
  </si>
  <si>
    <t>linking can be automatic</t>
  </si>
  <si>
    <t>Glossary linking shold be used.</t>
  </si>
  <si>
    <t>APPI has tools for Virtual classroom (videoconference) Students does not need any extra investment</t>
  </si>
  <si>
    <t>APPI internal training for implemented On-line toos for test generation and Videoconference should be planned.</t>
  </si>
  <si>
    <t>Ok</t>
  </si>
  <si>
    <t>highlighting of core knowledge and internal modularisation should be considered.</t>
  </si>
  <si>
    <t>Personal learning plans, and focus on specific needs could decrease workload for some of the students.</t>
  </si>
  <si>
    <t>More emphasis on the layout should be planned.</t>
  </si>
  <si>
    <t>A second desing round can be useful.</t>
  </si>
  <si>
    <t>ok</t>
  </si>
  <si>
    <t>Higher interactivity can be reached relatively easily with Moodle tools.</t>
  </si>
  <si>
    <t>The availability of support is also important at adult learners.</t>
  </si>
  <si>
    <t>Continous on-line help should be implemented.</t>
  </si>
  <si>
    <t>Automatic feedback channels should be set-up in moodle</t>
  </si>
  <si>
    <t>Case title</t>
  </si>
  <si>
    <t>Case authors</t>
  </si>
  <si>
    <r>
      <t xml:space="preserve">Quality criteria for ICT integration </t>
    </r>
    <r>
      <rPr>
        <b/>
        <sz val="11"/>
        <rFont val="Calibri"/>
        <family val="2"/>
      </rPr>
      <t>on Curriculum level - SELF-ASSESSMENT AND CASE DEVELOPMENT TEMPLATE</t>
    </r>
  </si>
  <si>
    <t xml:space="preserve">Quality criteria were developed by </t>
  </si>
  <si>
    <t>Airina Volungevičienė, Estela Daukšienė, Margarita Poškutė, Dalia Baziukė</t>
  </si>
  <si>
    <t>Institutions, 
affiliation</t>
  </si>
  <si>
    <t>Vytautas Magnus University, Revive VET project consortium</t>
  </si>
  <si>
    <t xml:space="preserve">POST GRADUATE MENTOR-TEACHER TRAINING AT BME </t>
  </si>
  <si>
    <t>Judit Vidékiné Reményi, BME Department of Technical Pedagogy</t>
  </si>
</sst>
</file>

<file path=xl/styles.xml><?xml version="1.0" encoding="utf-8"?>
<styleSheet xmlns="http://schemas.openxmlformats.org/spreadsheetml/2006/main">
  <numFmts count="2">
    <numFmt numFmtId="164" formatCode="0.0%"/>
    <numFmt numFmtId="165" formatCode="0.0"/>
  </numFmts>
  <fonts count="31">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indexed="10"/>
      <name val="Calibri"/>
      <family val="2"/>
      <charset val="186"/>
    </font>
    <font>
      <b/>
      <sz val="11"/>
      <color indexed="8"/>
      <name val="Calibri"/>
      <family val="2"/>
      <charset val="186"/>
    </font>
    <font>
      <b/>
      <i/>
      <sz val="11"/>
      <color indexed="8"/>
      <name val="Calibri"/>
      <family val="2"/>
      <charset val="186"/>
    </font>
    <font>
      <b/>
      <sz val="10"/>
      <color indexed="8"/>
      <name val="Arial"/>
      <family val="2"/>
    </font>
    <font>
      <i/>
      <sz val="11"/>
      <color indexed="8"/>
      <name val="Calibri"/>
      <family val="2"/>
      <charset val="186"/>
    </font>
    <font>
      <b/>
      <sz val="11"/>
      <color indexed="8"/>
      <name val="Calibri"/>
      <family val="2"/>
    </font>
    <font>
      <sz val="11"/>
      <color indexed="10"/>
      <name val="Calibri"/>
      <family val="2"/>
      <charset val="186"/>
    </font>
    <font>
      <b/>
      <sz val="8"/>
      <color indexed="8"/>
      <name val="Calibri"/>
      <family val="2"/>
    </font>
    <font>
      <b/>
      <sz val="11"/>
      <name val="Calibri"/>
      <family val="2"/>
    </font>
    <font>
      <i/>
      <sz val="11"/>
      <color indexed="8"/>
      <name val="Calibri"/>
      <family val="2"/>
    </font>
    <font>
      <b/>
      <i/>
      <sz val="11"/>
      <name val="Calibri"/>
      <family val="2"/>
    </font>
    <font>
      <b/>
      <sz val="11"/>
      <name val="Calibri"/>
      <family val="2"/>
      <charset val="186"/>
    </font>
    <font>
      <b/>
      <sz val="11"/>
      <color indexed="30"/>
      <name val="Calibri"/>
      <family val="2"/>
    </font>
    <font>
      <sz val="10"/>
      <color indexed="8"/>
      <name val="Calibri"/>
      <family val="2"/>
      <charset val="186"/>
    </font>
    <font>
      <sz val="10"/>
      <name val="Calibri"/>
      <family val="2"/>
      <charset val="186"/>
    </font>
    <font>
      <sz val="10"/>
      <color indexed="30"/>
      <name val="Calibri"/>
      <family val="2"/>
      <charset val="186"/>
    </font>
    <font>
      <sz val="9"/>
      <color indexed="81"/>
      <name val="Tahoma"/>
      <family val="2"/>
    </font>
    <font>
      <b/>
      <sz val="9"/>
      <color indexed="81"/>
      <name val="Tahoma"/>
      <family val="2"/>
    </font>
    <font>
      <b/>
      <sz val="11"/>
      <color indexed="30"/>
      <name val="Calibri"/>
      <family val="2"/>
      <charset val="186"/>
    </font>
    <font>
      <sz val="11"/>
      <color indexed="8"/>
      <name val="Calibri"/>
      <family val="2"/>
      <charset val="186"/>
    </font>
    <font>
      <sz val="11"/>
      <color indexed="30"/>
      <name val="Calibri"/>
      <family val="2"/>
      <charset val="186"/>
    </font>
    <font>
      <b/>
      <sz val="11"/>
      <color theme="1"/>
      <name val="Calibri"/>
      <family val="2"/>
      <scheme val="minor"/>
    </font>
    <font>
      <sz val="11"/>
      <name val="Calibri"/>
      <family val="2"/>
      <charset val="186"/>
    </font>
  </fonts>
  <fills count="8">
    <fill>
      <patternFill patternType="none"/>
    </fill>
    <fill>
      <patternFill patternType="gray125"/>
    </fill>
    <fill>
      <patternFill patternType="solid">
        <fgColor indexed="50"/>
        <bgColor indexed="64"/>
      </patternFill>
    </fill>
    <fill>
      <patternFill patternType="solid">
        <fgColor indexed="9"/>
        <bgColor indexed="64"/>
      </patternFill>
    </fill>
    <fill>
      <patternFill patternType="solid">
        <fgColor indexed="31"/>
        <bgColor indexed="64"/>
      </patternFill>
    </fill>
    <fill>
      <patternFill patternType="solid">
        <fgColor indexed="49"/>
        <bgColor indexed="64"/>
      </patternFill>
    </fill>
    <fill>
      <patternFill patternType="solid">
        <fgColor theme="3" tint="0.79998168889431442"/>
        <bgColor indexed="64"/>
      </patternFill>
    </fill>
    <fill>
      <patternFill patternType="solid">
        <fgColor theme="0"/>
        <bgColor indexed="64"/>
      </patternFill>
    </fill>
  </fills>
  <borders count="29">
    <border>
      <left/>
      <right/>
      <top/>
      <bottom/>
      <diagonal/>
    </border>
    <border>
      <left/>
      <right/>
      <top/>
      <bottom style="thick">
        <color indexed="10"/>
      </bottom>
      <diagonal/>
    </border>
    <border>
      <left/>
      <right style="thick">
        <color indexed="10"/>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10"/>
      </left>
      <right style="medium">
        <color indexed="10"/>
      </right>
      <top/>
      <bottom style="medium">
        <color indexed="10"/>
      </bottom>
      <diagonal/>
    </border>
    <border>
      <left/>
      <right style="thin">
        <color indexed="64"/>
      </right>
      <top/>
      <bottom/>
      <diagonal/>
    </border>
    <border>
      <left/>
      <right/>
      <top/>
      <bottom style="medium">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9" fontId="27" fillId="0" borderId="0" applyFont="0" applyFill="0" applyBorder="0" applyAlignment="0" applyProtection="0"/>
  </cellStyleXfs>
  <cellXfs count="149">
    <xf numFmtId="0" fontId="0" fillId="0" borderId="0" xfId="0"/>
    <xf numFmtId="0" fontId="0" fillId="0" borderId="1" xfId="0" applyBorder="1"/>
    <xf numFmtId="0" fontId="0" fillId="0" borderId="2" xfId="0" applyBorder="1"/>
    <xf numFmtId="0" fontId="0" fillId="0" borderId="0"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0" fillId="0" borderId="3" xfId="0" applyBorder="1" applyAlignment="1">
      <alignment horizontal="center" wrapText="1"/>
    </xf>
    <xf numFmtId="0" fontId="5" fillId="0" borderId="0" xfId="0" applyFont="1"/>
    <xf numFmtId="0" fontId="2"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4" xfId="0" applyBorder="1" applyAlignment="1">
      <alignment horizontal="center" vertical="top"/>
    </xf>
    <xf numFmtId="0" fontId="0" fillId="0" borderId="4" xfId="0" applyBorder="1" applyAlignment="1">
      <alignment horizontal="left" vertical="top" wrapText="1"/>
    </xf>
    <xf numFmtId="0" fontId="10" fillId="0" borderId="0" xfId="0" applyFont="1" applyAlignment="1">
      <alignment horizontal="left" vertical="top"/>
    </xf>
    <xf numFmtId="0" fontId="12" fillId="0" borderId="0" xfId="0" applyFont="1" applyBorder="1" applyAlignment="1">
      <alignment horizontal="center" vertical="top"/>
    </xf>
    <xf numFmtId="0" fontId="0" fillId="0" borderId="0" xfId="0" applyBorder="1" applyAlignment="1">
      <alignment horizontal="left" vertical="top"/>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top"/>
    </xf>
    <xf numFmtId="10" fontId="0" fillId="0" borderId="4" xfId="0" applyNumberFormat="1" applyBorder="1" applyAlignment="1">
      <alignment horizontal="center" vertical="top"/>
    </xf>
    <xf numFmtId="0" fontId="15" fillId="0" borderId="0" xfId="0" applyFont="1"/>
    <xf numFmtId="0" fontId="0" fillId="0" borderId="0" xfId="0" applyAlignment="1">
      <alignment vertical="center" wrapText="1"/>
    </xf>
    <xf numFmtId="0" fontId="0" fillId="2" borderId="0" xfId="0" applyFill="1" applyAlignment="1">
      <alignment vertical="center" wrapText="1"/>
    </xf>
    <xf numFmtId="0" fontId="2" fillId="0" borderId="0" xfId="0" applyFont="1" applyAlignment="1">
      <alignment horizontal="left"/>
    </xf>
    <xf numFmtId="10" fontId="13" fillId="2" borderId="5" xfId="0" applyNumberFormat="1" applyFont="1" applyFill="1" applyBorder="1"/>
    <xf numFmtId="10" fontId="16" fillId="0" borderId="6" xfId="0" applyNumberFormat="1" applyFont="1" applyBorder="1" applyAlignment="1">
      <alignment horizontal="center"/>
    </xf>
    <xf numFmtId="10" fontId="16" fillId="0" borderId="5" xfId="0" applyNumberFormat="1" applyFont="1" applyBorder="1" applyAlignment="1">
      <alignment horizontal="center"/>
    </xf>
    <xf numFmtId="0" fontId="4" fillId="3" borderId="0" xfId="0" applyFont="1" applyFill="1"/>
    <xf numFmtId="0" fontId="5" fillId="3" borderId="0" xfId="0" applyFont="1" applyFill="1"/>
    <xf numFmtId="0" fontId="19" fillId="2" borderId="0" xfId="0" applyFont="1" applyFill="1" applyAlignment="1">
      <alignment horizontal="left" vertical="top"/>
    </xf>
    <xf numFmtId="0" fontId="21" fillId="0" borderId="0" xfId="0" applyFont="1" applyAlignment="1">
      <alignment horizontal="left" vertical="top"/>
    </xf>
    <xf numFmtId="0" fontId="21" fillId="0" borderId="4" xfId="0" applyFont="1" applyBorder="1" applyAlignment="1">
      <alignment horizontal="center" vertical="top"/>
    </xf>
    <xf numFmtId="10" fontId="13" fillId="0" borderId="0" xfId="0" applyNumberFormat="1" applyFont="1" applyBorder="1" applyAlignment="1">
      <alignment horizontal="left" vertical="top"/>
    </xf>
    <xf numFmtId="0" fontId="9" fillId="0" borderId="4" xfId="0" applyFont="1" applyBorder="1" applyAlignment="1">
      <alignment horizontal="left" vertical="top"/>
    </xf>
    <xf numFmtId="0" fontId="0" fillId="0" borderId="4" xfId="0" applyBorder="1" applyAlignment="1">
      <alignment horizontal="left" vertical="top"/>
    </xf>
    <xf numFmtId="0" fontId="21" fillId="0" borderId="4" xfId="0" applyFont="1" applyBorder="1" applyAlignment="1">
      <alignment horizontal="left" vertical="top"/>
    </xf>
    <xf numFmtId="0" fontId="22" fillId="0" borderId="4" xfId="0" applyFont="1" applyBorder="1" applyAlignment="1">
      <alignment horizontal="left" vertical="top" wrapText="1"/>
    </xf>
    <xf numFmtId="0" fontId="21" fillId="0" borderId="4" xfId="0" applyFont="1" applyBorder="1" applyAlignment="1">
      <alignment horizontal="left" vertical="top" wrapText="1"/>
    </xf>
    <xf numFmtId="0" fontId="11" fillId="0" borderId="4" xfId="0" applyFont="1" applyBorder="1" applyAlignment="1">
      <alignment horizontal="left" vertical="top" wrapText="1"/>
    </xf>
    <xf numFmtId="0" fontId="13" fillId="0" borderId="0" xfId="0" applyFont="1" applyAlignment="1">
      <alignment horizontal="right" vertical="top"/>
    </xf>
    <xf numFmtId="0" fontId="17" fillId="0" borderId="0" xfId="0" applyFont="1" applyAlignment="1">
      <alignment horizontal="right" vertical="top"/>
    </xf>
    <xf numFmtId="0" fontId="17" fillId="0" borderId="0" xfId="0" applyFont="1" applyAlignment="1">
      <alignment horizontal="center" vertical="top"/>
    </xf>
    <xf numFmtId="0" fontId="17" fillId="0" borderId="0" xfId="0" applyFont="1" applyBorder="1" applyAlignment="1">
      <alignment horizontal="left" vertical="top"/>
    </xf>
    <xf numFmtId="9" fontId="13" fillId="0" borderId="7"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13" fillId="5" borderId="5" xfId="0" applyNumberFormat="1" applyFont="1" applyFill="1" applyBorder="1"/>
    <xf numFmtId="0" fontId="17" fillId="0" borderId="0" xfId="0" applyFont="1" applyBorder="1" applyAlignment="1">
      <alignment horizontal="right" vertical="top"/>
    </xf>
    <xf numFmtId="0" fontId="28" fillId="0" borderId="8" xfId="0" applyFont="1" applyBorder="1" applyAlignment="1">
      <alignment horizontal="left" vertical="top" wrapText="1"/>
    </xf>
    <xf numFmtId="164" fontId="21" fillId="2" borderId="4" xfId="1" applyNumberFormat="1" applyFont="1" applyFill="1" applyBorder="1" applyAlignment="1">
      <alignment horizontal="center" vertical="top"/>
    </xf>
    <xf numFmtId="164" fontId="21" fillId="5" borderId="4" xfId="1" applyNumberFormat="1" applyFont="1" applyFill="1" applyBorder="1" applyAlignment="1">
      <alignment horizontal="center" vertical="top"/>
    </xf>
    <xf numFmtId="0" fontId="22" fillId="0" borderId="4" xfId="0" applyFont="1" applyBorder="1" applyAlignment="1">
      <alignment horizontal="left" vertical="center" wrapText="1"/>
    </xf>
    <xf numFmtId="0" fontId="21" fillId="0" borderId="4" xfId="0" applyFont="1" applyBorder="1" applyAlignment="1">
      <alignment horizontal="left" vertical="center" wrapText="1"/>
    </xf>
    <xf numFmtId="9" fontId="9" fillId="0" borderId="4" xfId="1" applyFont="1" applyBorder="1" applyAlignment="1">
      <alignment horizontal="left" vertical="top"/>
    </xf>
    <xf numFmtId="0" fontId="22" fillId="0" borderId="4" xfId="0" applyFont="1" applyBorder="1" applyAlignment="1">
      <alignment horizontal="center" vertical="top"/>
    </xf>
    <xf numFmtId="0" fontId="9" fillId="0" borderId="9" xfId="0" applyFont="1" applyBorder="1" applyAlignment="1">
      <alignment horizontal="left" vertical="top"/>
    </xf>
    <xf numFmtId="0" fontId="8" fillId="0" borderId="10" xfId="0" applyFont="1" applyBorder="1" applyAlignment="1">
      <alignment horizontal="left" vertical="top"/>
    </xf>
    <xf numFmtId="0" fontId="9" fillId="0" borderId="11" xfId="0" applyFont="1" applyBorder="1" applyAlignment="1">
      <alignment horizontal="left" vertical="center" wrapText="1"/>
    </xf>
    <xf numFmtId="0" fontId="26" fillId="2" borderId="4" xfId="0" applyFont="1" applyFill="1" applyBorder="1" applyAlignment="1">
      <alignment horizontal="center" wrapText="1"/>
    </xf>
    <xf numFmtId="0" fontId="19" fillId="5" borderId="4" xfId="0" applyFont="1" applyFill="1" applyBorder="1" applyAlignment="1">
      <alignment horizontal="center" wrapText="1"/>
    </xf>
    <xf numFmtId="0" fontId="19" fillId="2" borderId="4" xfId="0" applyFont="1" applyFill="1" applyBorder="1" applyAlignment="1">
      <alignment horizontal="center" vertical="top"/>
    </xf>
    <xf numFmtId="0" fontId="19" fillId="5" borderId="4" xfId="0" applyFont="1" applyFill="1" applyBorder="1" applyAlignment="1">
      <alignment horizontal="center" vertical="top" wrapText="1"/>
    </xf>
    <xf numFmtId="0" fontId="0" fillId="0" borderId="11" xfId="0" applyBorder="1" applyAlignment="1">
      <alignment horizontal="left" vertical="top"/>
    </xf>
    <xf numFmtId="0" fontId="9" fillId="2" borderId="4"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0" fillId="0" borderId="13" xfId="0" applyFont="1" applyBorder="1" applyAlignment="1">
      <alignment horizontal="left" vertical="top"/>
    </xf>
    <xf numFmtId="1" fontId="10" fillId="0" borderId="14" xfId="0" applyNumberFormat="1" applyFont="1" applyBorder="1" applyAlignment="1">
      <alignment horizontal="center" vertical="top"/>
    </xf>
    <xf numFmtId="0" fontId="10" fillId="0" borderId="14" xfId="0" applyFont="1" applyBorder="1" applyAlignment="1">
      <alignment horizontal="left" vertical="top"/>
    </xf>
    <xf numFmtId="10" fontId="13" fillId="0" borderId="7" xfId="0" applyNumberFormat="1" applyFont="1" applyBorder="1" applyAlignment="1">
      <alignment horizontal="center" vertical="top"/>
    </xf>
    <xf numFmtId="0" fontId="9" fillId="0" borderId="12" xfId="0" applyFont="1" applyBorder="1" applyAlignment="1">
      <alignment vertical="top"/>
    </xf>
    <xf numFmtId="0" fontId="9" fillId="2" borderId="4" xfId="0" applyFont="1" applyFill="1" applyBorder="1" applyAlignment="1">
      <alignment horizontal="center" vertical="top"/>
    </xf>
    <xf numFmtId="0" fontId="19" fillId="5" borderId="12" xfId="0" applyFont="1" applyFill="1" applyBorder="1" applyAlignment="1">
      <alignment horizontal="center" vertical="top" wrapText="1"/>
    </xf>
    <xf numFmtId="0" fontId="0" fillId="0" borderId="15" xfId="0" applyBorder="1" applyAlignment="1">
      <alignment horizontal="left" vertical="top"/>
    </xf>
    <xf numFmtId="9" fontId="13" fillId="0" borderId="7" xfId="0" applyNumberFormat="1" applyFont="1" applyBorder="1" applyAlignment="1">
      <alignment horizontal="center" vertical="center"/>
    </xf>
    <xf numFmtId="164" fontId="0" fillId="0" borderId="4" xfId="0" applyNumberFormat="1" applyBorder="1" applyAlignment="1">
      <alignment horizontal="center" vertical="top"/>
    </xf>
    <xf numFmtId="0" fontId="9" fillId="0" borderId="13" xfId="0" applyFont="1" applyBorder="1" applyAlignment="1">
      <alignment horizontal="left" vertical="top" wrapText="1"/>
    </xf>
    <xf numFmtId="0" fontId="0" fillId="0" borderId="11"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2" xfId="0" applyBorder="1" applyAlignment="1">
      <alignment horizontal="left" vertical="top"/>
    </xf>
    <xf numFmtId="10" fontId="13" fillId="0" borderId="16" xfId="0" applyNumberFormat="1" applyFont="1" applyBorder="1" applyAlignment="1">
      <alignment horizontal="left" vertical="top"/>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9" fillId="0" borderId="13" xfId="0" applyFont="1" applyBorder="1" applyAlignment="1">
      <alignment horizontal="left" vertical="top"/>
    </xf>
    <xf numFmtId="0" fontId="9" fillId="0" borderId="11" xfId="0" applyFont="1" applyBorder="1" applyAlignment="1">
      <alignment horizontal="left" vertical="top" wrapText="1"/>
    </xf>
    <xf numFmtId="0" fontId="11" fillId="0" borderId="11" xfId="0" applyFont="1" applyBorder="1" applyAlignment="1">
      <alignment horizontal="left" vertical="top" wrapText="1"/>
    </xf>
    <xf numFmtId="0" fontId="12" fillId="0" borderId="0" xfId="0" applyFont="1" applyAlignment="1">
      <alignment horizontal="center" vertical="top"/>
    </xf>
    <xf numFmtId="0" fontId="11" fillId="0" borderId="10" xfId="0" applyFont="1" applyBorder="1" applyAlignment="1">
      <alignment horizontal="left" vertical="top" wrapText="1"/>
    </xf>
    <xf numFmtId="0" fontId="0" fillId="0" borderId="10" xfId="0" applyBorder="1" applyAlignment="1">
      <alignment horizontal="center" vertical="top"/>
    </xf>
    <xf numFmtId="165" fontId="10" fillId="0" borderId="14" xfId="0" applyNumberFormat="1" applyFont="1" applyBorder="1" applyAlignment="1">
      <alignment horizontal="left" vertical="top"/>
    </xf>
    <xf numFmtId="0" fontId="23" fillId="0" borderId="14" xfId="0" applyFont="1" applyBorder="1" applyAlignment="1" applyProtection="1">
      <alignment horizontal="left" vertical="top" wrapText="1"/>
      <protection locked="0"/>
    </xf>
    <xf numFmtId="0" fontId="0" fillId="0" borderId="4" xfId="0" applyBorder="1" applyAlignment="1" applyProtection="1">
      <alignment horizontal="left" vertical="top"/>
      <protection locked="0"/>
    </xf>
    <xf numFmtId="0" fontId="21" fillId="0" borderId="4" xfId="0" applyFont="1" applyBorder="1" applyAlignment="1" applyProtection="1">
      <alignment horizontal="left" vertical="top" wrapText="1"/>
      <protection locked="0"/>
    </xf>
    <xf numFmtId="0" fontId="21" fillId="0" borderId="4" xfId="0" applyFont="1" applyBorder="1" applyAlignment="1" applyProtection="1">
      <alignment horizontal="left" vertical="top"/>
      <protection locked="0"/>
    </xf>
    <xf numFmtId="0" fontId="23" fillId="0" borderId="4" xfId="0" applyFont="1" applyBorder="1" applyAlignment="1" applyProtection="1">
      <alignment horizontal="left" vertical="top" wrapText="1"/>
      <protection locked="0"/>
    </xf>
    <xf numFmtId="0" fontId="23" fillId="0" borderId="17" xfId="0" applyFont="1"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lignment horizontal="center" wrapText="1"/>
    </xf>
    <xf numFmtId="0" fontId="13" fillId="4" borderId="0" xfId="0" applyFont="1" applyFill="1" applyAlignment="1">
      <alignment horizontal="center" vertical="center" wrapText="1"/>
    </xf>
    <xf numFmtId="0" fontId="0" fillId="4" borderId="0" xfId="0" applyFill="1" applyAlignment="1">
      <alignment horizont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12" xfId="0" applyFill="1" applyBorder="1" applyAlignment="1">
      <alignment vertical="center" wrapText="1"/>
    </xf>
    <xf numFmtId="0" fontId="17" fillId="0" borderId="10" xfId="0" applyFont="1" applyBorder="1" applyAlignment="1">
      <alignment horizontal="left" wrapText="1"/>
    </xf>
    <xf numFmtId="0" fontId="17" fillId="0" borderId="11" xfId="0" applyFont="1" applyBorder="1" applyAlignment="1">
      <alignment horizontal="left" wrapText="1"/>
    </xf>
    <xf numFmtId="0" fontId="17" fillId="0" borderId="12" xfId="0" applyFont="1" applyBorder="1" applyAlignment="1">
      <alignment horizontal="left"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6" fillId="0" borderId="12" xfId="0" applyFont="1" applyBorder="1" applyAlignment="1">
      <alignment horizontal="left" wrapText="1"/>
    </xf>
    <xf numFmtId="0" fontId="0" fillId="0" borderId="22" xfId="0" applyBorder="1" applyAlignment="1" applyProtection="1">
      <alignment horizontal="center" vertical="top" wrapText="1"/>
      <protection locked="0"/>
    </xf>
    <xf numFmtId="0" fontId="0" fillId="0" borderId="23"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9" fillId="0" borderId="10" xfId="0" applyFont="1" applyBorder="1" applyAlignment="1">
      <alignment horizontal="right" vertical="top"/>
    </xf>
    <xf numFmtId="0" fontId="9" fillId="0" borderId="11" xfId="0" applyFont="1" applyBorder="1" applyAlignment="1">
      <alignment horizontal="right" vertical="top"/>
    </xf>
    <xf numFmtId="0" fontId="9" fillId="0" borderId="12" xfId="0" applyFont="1" applyBorder="1" applyAlignment="1">
      <alignment horizontal="right" vertical="top"/>
    </xf>
    <xf numFmtId="0" fontId="13" fillId="0" borderId="15" xfId="0" applyFont="1" applyBorder="1" applyAlignment="1">
      <alignment horizontal="right" vertical="top"/>
    </xf>
    <xf numFmtId="0" fontId="17" fillId="0" borderId="0" xfId="0" applyFont="1" applyAlignment="1">
      <alignment horizontal="right" vertical="top"/>
    </xf>
    <xf numFmtId="0" fontId="0" fillId="0" borderId="4" xfId="0" applyBorder="1" applyAlignment="1" applyProtection="1">
      <alignment horizontal="center" vertical="top" wrapText="1"/>
      <protection locked="0"/>
    </xf>
    <xf numFmtId="0" fontId="0" fillId="0" borderId="4" xfId="0" applyBorder="1" applyAlignment="1" applyProtection="1">
      <alignment horizontal="center" vertical="top"/>
      <protection locked="0"/>
    </xf>
    <xf numFmtId="0" fontId="0" fillId="0" borderId="24" xfId="0" applyBorder="1" applyAlignment="1" applyProtection="1">
      <alignment horizontal="center" vertical="top" wrapText="1"/>
      <protection locked="0"/>
    </xf>
    <xf numFmtId="0" fontId="0" fillId="0" borderId="13" xfId="0" applyBorder="1" applyAlignment="1" applyProtection="1">
      <alignment horizontal="center" vertical="top" wrapText="1"/>
      <protection locked="0"/>
    </xf>
    <xf numFmtId="0" fontId="1" fillId="6" borderId="25"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7" borderId="4" xfId="0" applyFont="1" applyFill="1" applyBorder="1" applyAlignment="1" applyProtection="1">
      <alignment horizontal="center" vertical="center" wrapText="1"/>
      <protection locked="0"/>
    </xf>
    <xf numFmtId="0" fontId="1" fillId="7" borderId="26"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protection locked="0"/>
    </xf>
    <xf numFmtId="0" fontId="1" fillId="7" borderId="26" xfId="0" applyFont="1" applyFill="1" applyBorder="1" applyAlignment="1" applyProtection="1">
      <alignment horizontal="center" vertical="center"/>
      <protection locked="0"/>
    </xf>
    <xf numFmtId="0" fontId="1" fillId="6" borderId="27" xfId="0" applyFont="1" applyFill="1" applyBorder="1" applyAlignment="1">
      <alignment horizontal="center" wrapText="1"/>
    </xf>
    <xf numFmtId="0" fontId="1" fillId="6" borderId="3" xfId="0" applyFont="1" applyFill="1" applyBorder="1" applyAlignment="1">
      <alignment horizontal="center" wrapText="1"/>
    </xf>
    <xf numFmtId="0" fontId="1" fillId="6" borderId="28" xfId="0" applyFont="1" applyFill="1" applyBorder="1" applyAlignment="1">
      <alignment horizontal="center" wrapText="1"/>
    </xf>
    <xf numFmtId="0" fontId="1" fillId="7" borderId="0" xfId="0" applyFont="1" applyFill="1"/>
    <xf numFmtId="0" fontId="1" fillId="6" borderId="26" xfId="0" applyFont="1" applyFill="1" applyBorder="1" applyAlignment="1">
      <alignment horizontal="center" vertical="center" wrapText="1"/>
    </xf>
    <xf numFmtId="0" fontId="1" fillId="6" borderId="25" xfId="0" applyFont="1" applyFill="1" applyBorder="1" applyAlignment="1">
      <alignment horizontal="center" vertical="center"/>
    </xf>
    <xf numFmtId="0" fontId="1" fillId="6" borderId="4" xfId="0" applyFont="1" applyFill="1" applyBorder="1" applyAlignment="1">
      <alignment horizontal="center" vertical="center"/>
    </xf>
    <xf numFmtId="0" fontId="29" fillId="6" borderId="25" xfId="0" applyFont="1" applyFill="1" applyBorder="1" applyAlignment="1">
      <alignment horizontal="center" vertical="center" wrapText="1"/>
    </xf>
    <xf numFmtId="0" fontId="29" fillId="6" borderId="4" xfId="0" applyFont="1" applyFill="1" applyBorder="1" applyAlignment="1">
      <alignment horizontal="center" vertical="center" wrapText="1"/>
    </xf>
    <xf numFmtId="0" fontId="0" fillId="6" borderId="4" xfId="0" applyFill="1" applyBorder="1" applyAlignment="1">
      <alignment horizontal="center" wrapText="1"/>
    </xf>
    <xf numFmtId="0" fontId="0" fillId="6" borderId="26" xfId="0" applyFill="1" applyBorder="1" applyAlignment="1">
      <alignment horizontal="center" vertical="center"/>
    </xf>
    <xf numFmtId="0" fontId="30" fillId="0" borderId="4" xfId="0" applyFont="1"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26</xdr:row>
      <xdr:rowOff>104775</xdr:rowOff>
    </xdr:from>
    <xdr:to>
      <xdr:col>10</xdr:col>
      <xdr:colOff>1571625</xdr:colOff>
      <xdr:row>29</xdr:row>
      <xdr:rowOff>100965</xdr:rowOff>
    </xdr:to>
    <xdr:pic>
      <xdr:nvPicPr>
        <xdr:cNvPr id="81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76975" y="8591550"/>
          <a:ext cx="838200" cy="295275"/>
        </a:xfrm>
        <a:prstGeom prst="rect">
          <a:avLst/>
        </a:prstGeom>
        <a:noFill/>
        <a:ln w="9525">
          <a:noFill/>
          <a:miter lim="800000"/>
          <a:headEnd/>
          <a:tailEnd/>
        </a:ln>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819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1647825"/>
          <a:ext cx="838200" cy="295275"/>
        </a:xfrm>
        <a:prstGeom prst="rect">
          <a:avLst/>
        </a:prstGeom>
        <a:noFill/>
        <a:ln w="9525">
          <a:noFill/>
          <a:miter lim="800000"/>
          <a:headEnd/>
          <a:tailEnd/>
        </a:ln>
      </xdr:spPr>
    </xdr:pic>
    <xdr:clientData/>
  </xdr:twoCellAnchor>
  <xdr:twoCellAnchor editAs="oneCell">
    <xdr:from>
      <xdr:col>1</xdr:col>
      <xdr:colOff>0</xdr:colOff>
      <xdr:row>0</xdr:row>
      <xdr:rowOff>19050</xdr:rowOff>
    </xdr:from>
    <xdr:to>
      <xdr:col>2</xdr:col>
      <xdr:colOff>304800</xdr:colOff>
      <xdr:row>1</xdr:row>
      <xdr:rowOff>19050</xdr:rowOff>
    </xdr:to>
    <xdr:pic>
      <xdr:nvPicPr>
        <xdr:cNvPr id="8195" name="Picture 3" descr="eu-flag.png"/>
        <xdr:cNvPicPr>
          <a:picLocks noChangeAspect="1"/>
        </xdr:cNvPicPr>
      </xdr:nvPicPr>
      <xdr:blipFill>
        <a:blip xmlns:r="http://schemas.openxmlformats.org/officeDocument/2006/relationships" r:embed="rId3" cstate="print"/>
        <a:srcRect t="22656" r="87190" b="16406"/>
        <a:stretch>
          <a:fillRect/>
        </a:stretch>
      </xdr:blipFill>
      <xdr:spPr bwMode="auto">
        <a:xfrm>
          <a:off x="152400" y="19050"/>
          <a:ext cx="1143000" cy="752475"/>
        </a:xfrm>
        <a:prstGeom prst="rect">
          <a:avLst/>
        </a:prstGeom>
        <a:noFill/>
        <a:ln w="9525">
          <a:noFill/>
          <a:miter lim="800000"/>
          <a:headEnd/>
          <a:tailEnd/>
        </a:ln>
      </xdr:spPr>
    </xdr:pic>
    <xdr:clientData/>
  </xdr:twoCellAnchor>
  <xdr:twoCellAnchor editAs="oneCell">
    <xdr:from>
      <xdr:col>1</xdr:col>
      <xdr:colOff>0</xdr:colOff>
      <xdr:row>0</xdr:row>
      <xdr:rowOff>19049</xdr:rowOff>
    </xdr:from>
    <xdr:to>
      <xdr:col>2</xdr:col>
      <xdr:colOff>304800</xdr:colOff>
      <xdr:row>1</xdr:row>
      <xdr:rowOff>15767</xdr:rowOff>
    </xdr:to>
    <xdr:pic>
      <xdr:nvPicPr>
        <xdr:cNvPr id="5" name="Picture 4" descr="eu-flag.png"/>
        <xdr:cNvPicPr>
          <a:picLocks noChangeAspect="1"/>
        </xdr:cNvPicPr>
      </xdr:nvPicPr>
      <xdr:blipFill>
        <a:blip xmlns:r="http://schemas.openxmlformats.org/officeDocument/2006/relationships" r:embed="rId3" cstate="print"/>
        <a:srcRect t="22656" r="87190" b="16406"/>
        <a:stretch>
          <a:fillRect/>
        </a:stretch>
      </xdr:blipFill>
      <xdr:spPr>
        <a:xfrm>
          <a:off x="160020" y="19049"/>
          <a:ext cx="1165860" cy="743478"/>
        </a:xfrm>
        <a:prstGeom prst="rect">
          <a:avLst/>
        </a:prstGeom>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61660" y="2606040"/>
          <a:ext cx="838200" cy="295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9525</xdr:colOff>
      <xdr:row>46</xdr:row>
      <xdr:rowOff>295275</xdr:rowOff>
    </xdr:to>
    <xdr:pic>
      <xdr:nvPicPr>
        <xdr:cNvPr id="208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163050" y="16821150"/>
          <a:ext cx="9525" cy="295275"/>
        </a:xfrm>
        <a:prstGeom prst="rect">
          <a:avLst/>
        </a:prstGeom>
        <a:noFill/>
        <a:ln w="9525">
          <a:noFill/>
          <a:miter lim="800000"/>
          <a:headEnd/>
          <a:tailEnd/>
        </a:ln>
      </xdr:spPr>
    </xdr:pic>
    <xdr:clientData/>
  </xdr:twoCellAnchor>
  <xdr:twoCellAnchor editAs="oneCell">
    <xdr:from>
      <xdr:col>10</xdr:col>
      <xdr:colOff>0</xdr:colOff>
      <xdr:row>46</xdr:row>
      <xdr:rowOff>0</xdr:rowOff>
    </xdr:from>
    <xdr:to>
      <xdr:col>10</xdr:col>
      <xdr:colOff>838200</xdr:colOff>
      <xdr:row>46</xdr:row>
      <xdr:rowOff>295275</xdr:rowOff>
    </xdr:to>
    <xdr:pic>
      <xdr:nvPicPr>
        <xdr:cNvPr id="208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163050" y="16821150"/>
          <a:ext cx="838200" cy="295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295275</xdr:rowOff>
    </xdr:to>
    <xdr:pic>
      <xdr:nvPicPr>
        <xdr:cNvPr id="514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9515475" y="11725275"/>
          <a:ext cx="0" cy="295275"/>
        </a:xfrm>
        <a:prstGeom prst="rect">
          <a:avLst/>
        </a:prstGeom>
        <a:noFill/>
        <a:ln w="9525">
          <a:noFill/>
          <a:miter lim="800000"/>
          <a:headEnd/>
          <a:tailEnd/>
        </a:ln>
      </xdr:spPr>
    </xdr:pic>
    <xdr:clientData/>
  </xdr:twoCellAnchor>
  <xdr:twoCellAnchor editAs="oneCell">
    <xdr:from>
      <xdr:col>10</xdr:col>
      <xdr:colOff>0</xdr:colOff>
      <xdr:row>33</xdr:row>
      <xdr:rowOff>0</xdr:rowOff>
    </xdr:from>
    <xdr:to>
      <xdr:col>10</xdr:col>
      <xdr:colOff>838200</xdr:colOff>
      <xdr:row>33</xdr:row>
      <xdr:rowOff>295275</xdr:rowOff>
    </xdr:to>
    <xdr:pic>
      <xdr:nvPicPr>
        <xdr:cNvPr id="514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15475" y="11725275"/>
          <a:ext cx="838200" cy="2952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104775</xdr:rowOff>
    </xdr:to>
    <xdr:pic>
      <xdr:nvPicPr>
        <xdr:cNvPr id="412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9201150" y="12973050"/>
          <a:ext cx="0" cy="514350"/>
        </a:xfrm>
        <a:prstGeom prst="rect">
          <a:avLst/>
        </a:prstGeom>
        <a:noFill/>
        <a:ln w="9525">
          <a:noFill/>
          <a:miter lim="800000"/>
          <a:headEnd/>
          <a:tailEnd/>
        </a:ln>
      </xdr:spPr>
    </xdr:pic>
    <xdr:clientData/>
  </xdr:twoCellAnchor>
  <xdr:twoCellAnchor editAs="oneCell">
    <xdr:from>
      <xdr:col>9</xdr:col>
      <xdr:colOff>0</xdr:colOff>
      <xdr:row>38</xdr:row>
      <xdr:rowOff>0</xdr:rowOff>
    </xdr:from>
    <xdr:to>
      <xdr:col>9</xdr:col>
      <xdr:colOff>0</xdr:colOff>
      <xdr:row>38</xdr:row>
      <xdr:rowOff>295275</xdr:rowOff>
    </xdr:to>
    <xdr:pic>
      <xdr:nvPicPr>
        <xdr:cNvPr id="4126"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6867525" y="12973050"/>
          <a:ext cx="0" cy="295275"/>
        </a:xfrm>
        <a:prstGeom prst="rect">
          <a:avLst/>
        </a:prstGeom>
        <a:noFill/>
        <a:ln w="9525">
          <a:noFill/>
          <a:miter lim="800000"/>
          <a:headEnd/>
          <a:tailEnd/>
        </a:ln>
      </xdr:spPr>
    </xdr:pic>
    <xdr:clientData/>
  </xdr:twoCellAnchor>
  <xdr:twoCellAnchor editAs="oneCell">
    <xdr:from>
      <xdr:col>9</xdr:col>
      <xdr:colOff>0</xdr:colOff>
      <xdr:row>38</xdr:row>
      <xdr:rowOff>0</xdr:rowOff>
    </xdr:from>
    <xdr:to>
      <xdr:col>9</xdr:col>
      <xdr:colOff>838200</xdr:colOff>
      <xdr:row>38</xdr:row>
      <xdr:rowOff>295275</xdr:rowOff>
    </xdr:to>
    <xdr:pic>
      <xdr:nvPicPr>
        <xdr:cNvPr id="412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67525" y="12973050"/>
          <a:ext cx="838200" cy="2952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295275</xdr:rowOff>
    </xdr:to>
    <xdr:pic>
      <xdr:nvPicPr>
        <xdr:cNvPr id="30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048500" y="8058150"/>
          <a:ext cx="0" cy="295275"/>
        </a:xfrm>
        <a:prstGeom prst="rect">
          <a:avLst/>
        </a:prstGeom>
        <a:noFill/>
        <a:ln w="9525">
          <a:noFill/>
          <a:miter lim="800000"/>
          <a:headEnd/>
          <a:tailEnd/>
        </a:ln>
      </xdr:spPr>
    </xdr:pic>
    <xdr:clientData/>
  </xdr:twoCellAnchor>
  <xdr:twoCellAnchor editAs="oneCell">
    <xdr:from>
      <xdr:col>10</xdr:col>
      <xdr:colOff>0</xdr:colOff>
      <xdr:row>26</xdr:row>
      <xdr:rowOff>0</xdr:rowOff>
    </xdr:from>
    <xdr:to>
      <xdr:col>10</xdr:col>
      <xdr:colOff>838200</xdr:colOff>
      <xdr:row>26</xdr:row>
      <xdr:rowOff>295275</xdr:rowOff>
    </xdr:to>
    <xdr:pic>
      <xdr:nvPicPr>
        <xdr:cNvPr id="309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286875" y="8058150"/>
          <a:ext cx="838200" cy="295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B1:R28"/>
  <sheetViews>
    <sheetView tabSelected="1" zoomScaleNormal="100" workbookViewId="0">
      <selection activeCell="G36" sqref="G36"/>
    </sheetView>
  </sheetViews>
  <sheetFormatPr defaultRowHeight="14.4"/>
  <cols>
    <col min="1" max="1" width="2.33203125" customWidth="1"/>
    <col min="2" max="2" width="12.5546875" customWidth="1"/>
    <col min="4" max="4" width="3" customWidth="1"/>
    <col min="7" max="7" width="5.33203125" customWidth="1"/>
    <col min="8" max="8" width="4" customWidth="1"/>
    <col min="9" max="9" width="4.33203125" customWidth="1"/>
    <col min="10" max="10" width="24.33203125" customWidth="1"/>
    <col min="11" max="11" width="55.109375" customWidth="1"/>
    <col min="12" max="12" width="3.44140625" hidden="1" customWidth="1"/>
  </cols>
  <sheetData>
    <row r="1" spans="2:18" ht="59.25" customHeight="1" thickBot="1">
      <c r="C1" s="101" t="s">
        <v>155</v>
      </c>
      <c r="D1" s="101"/>
      <c r="E1" s="101"/>
      <c r="F1" s="101"/>
      <c r="G1" s="101"/>
      <c r="H1" s="101"/>
      <c r="I1" s="101"/>
      <c r="J1" s="101"/>
      <c r="K1" s="101"/>
    </row>
    <row r="2" spans="2:18" s="140" customFormat="1" ht="21.75" customHeight="1">
      <c r="B2" s="137" t="s">
        <v>260</v>
      </c>
      <c r="C2" s="138"/>
      <c r="D2" s="138"/>
      <c r="E2" s="138"/>
      <c r="F2" s="138"/>
      <c r="G2" s="138"/>
      <c r="H2" s="138"/>
      <c r="I2" s="138"/>
      <c r="J2" s="138"/>
      <c r="K2" s="139"/>
      <c r="L2"/>
      <c r="M2"/>
      <c r="N2"/>
      <c r="O2"/>
      <c r="P2"/>
      <c r="Q2"/>
      <c r="R2"/>
    </row>
    <row r="3" spans="2:18" s="140" customFormat="1" ht="31.5" customHeight="1">
      <c r="B3" s="131" t="s">
        <v>258</v>
      </c>
      <c r="C3" s="132"/>
      <c r="D3" s="132"/>
      <c r="E3" s="133" t="s">
        <v>265</v>
      </c>
      <c r="F3" s="133"/>
      <c r="G3" s="133"/>
      <c r="H3" s="133"/>
      <c r="I3" s="133"/>
      <c r="J3" s="133"/>
      <c r="K3" s="134"/>
    </row>
    <row r="4" spans="2:18" s="140" customFormat="1" ht="31.5" customHeight="1">
      <c r="B4" s="131" t="s">
        <v>259</v>
      </c>
      <c r="C4" s="132"/>
      <c r="D4" s="132"/>
      <c r="E4" s="135" t="s">
        <v>266</v>
      </c>
      <c r="F4" s="135"/>
      <c r="G4" s="135"/>
      <c r="H4" s="135"/>
      <c r="I4" s="135"/>
      <c r="J4" s="135"/>
      <c r="K4" s="136"/>
    </row>
    <row r="5" spans="2:18" ht="31.5" customHeight="1">
      <c r="B5" s="131" t="s">
        <v>261</v>
      </c>
      <c r="C5" s="132"/>
      <c r="D5" s="132"/>
      <c r="E5" s="132" t="s">
        <v>262</v>
      </c>
      <c r="F5" s="132"/>
      <c r="G5" s="132"/>
      <c r="H5" s="132"/>
      <c r="I5" s="132"/>
      <c r="J5" s="132"/>
      <c r="K5" s="141"/>
    </row>
    <row r="6" spans="2:18" ht="31.5" customHeight="1">
      <c r="B6" s="142" t="s">
        <v>263</v>
      </c>
      <c r="C6" s="143"/>
      <c r="D6" s="143"/>
      <c r="E6" s="132" t="s">
        <v>264</v>
      </c>
      <c r="F6" s="132"/>
      <c r="G6" s="132"/>
      <c r="H6" s="132"/>
      <c r="I6" s="132"/>
      <c r="J6" s="132"/>
      <c r="K6" s="141"/>
    </row>
    <row r="7" spans="2:18" ht="31.5" customHeight="1" thickBot="1">
      <c r="B7" s="144" t="s">
        <v>153</v>
      </c>
      <c r="C7" s="145"/>
      <c r="D7" s="145"/>
      <c r="E7" s="146" t="s">
        <v>154</v>
      </c>
      <c r="F7" s="146"/>
      <c r="G7" s="146"/>
      <c r="H7" s="146"/>
      <c r="I7" s="146"/>
      <c r="J7" s="146"/>
      <c r="K7" s="147"/>
    </row>
    <row r="8" spans="2:18" ht="48.75" customHeight="1" thickBot="1">
      <c r="B8" s="110" t="s">
        <v>151</v>
      </c>
      <c r="C8" s="111"/>
      <c r="D8" s="111"/>
      <c r="E8" s="111"/>
      <c r="F8" s="111"/>
      <c r="G8" s="111"/>
      <c r="H8" s="111"/>
      <c r="I8" s="111"/>
      <c r="J8" s="111"/>
      <c r="K8" s="112"/>
    </row>
    <row r="9" spans="2:18" ht="7.5" customHeight="1">
      <c r="B9" s="6"/>
      <c r="C9" s="6"/>
      <c r="D9" s="7"/>
      <c r="E9" s="7"/>
      <c r="F9" s="7"/>
      <c r="G9" s="7"/>
      <c r="H9" s="7"/>
      <c r="I9" s="7"/>
      <c r="J9" s="7"/>
      <c r="K9" s="5"/>
    </row>
    <row r="10" spans="2:18" ht="33" customHeight="1">
      <c r="B10" s="104" t="s">
        <v>0</v>
      </c>
      <c r="C10" s="105"/>
      <c r="D10" s="106"/>
      <c r="E10" s="113" t="s">
        <v>15</v>
      </c>
      <c r="F10" s="114"/>
      <c r="G10" s="114"/>
      <c r="H10" s="114"/>
      <c r="I10" s="114"/>
      <c r="J10" s="114"/>
      <c r="K10" s="115"/>
      <c r="L10" s="3"/>
    </row>
    <row r="11" spans="2:18" ht="7.5" customHeight="1">
      <c r="B11" s="23"/>
      <c r="C11" s="23"/>
      <c r="D11" s="23"/>
      <c r="E11" s="6"/>
      <c r="F11" s="5"/>
      <c r="G11" s="5"/>
      <c r="H11" s="5"/>
      <c r="I11" s="5"/>
      <c r="J11" s="5"/>
      <c r="K11" s="5"/>
    </row>
    <row r="12" spans="2:18" ht="153" customHeight="1">
      <c r="B12" s="104" t="s">
        <v>1</v>
      </c>
      <c r="C12" s="105"/>
      <c r="D12" s="106"/>
      <c r="E12" s="116" t="s">
        <v>152</v>
      </c>
      <c r="F12" s="117"/>
      <c r="G12" s="117"/>
      <c r="H12" s="117"/>
      <c r="I12" s="117"/>
      <c r="J12" s="117"/>
      <c r="K12" s="118"/>
    </row>
    <row r="13" spans="2:18" ht="7.5" customHeight="1">
      <c r="B13" s="24"/>
      <c r="C13" s="24"/>
      <c r="D13" s="24"/>
      <c r="E13" s="5"/>
      <c r="F13" s="5"/>
      <c r="G13" s="5"/>
      <c r="H13" s="5"/>
      <c r="I13" s="5"/>
      <c r="J13" s="5"/>
      <c r="K13" s="5"/>
    </row>
    <row r="14" spans="2:18" ht="74.25" customHeight="1">
      <c r="B14" s="104" t="s">
        <v>191</v>
      </c>
      <c r="C14" s="105"/>
      <c r="D14" s="106"/>
      <c r="E14" s="107" t="s">
        <v>141</v>
      </c>
      <c r="F14" s="108"/>
      <c r="G14" s="108"/>
      <c r="H14" s="108"/>
      <c r="I14" s="108"/>
      <c r="J14" s="108"/>
      <c r="K14" s="109"/>
    </row>
    <row r="15" spans="2:18" ht="6.75" customHeight="1" thickBot="1">
      <c r="J15" s="1"/>
    </row>
    <row r="16" spans="2:18" ht="15.6" thickTop="1" thickBot="1">
      <c r="B16" s="4" t="s">
        <v>2</v>
      </c>
      <c r="I16" s="2"/>
      <c r="J16" s="26">
        <f>SUM(J18:J21)</f>
        <v>0.66341666666666665</v>
      </c>
    </row>
    <row r="17" spans="2:15" s="8" customFormat="1" ht="11.25" customHeight="1" thickTop="1" thickBot="1">
      <c r="B17" s="29"/>
      <c r="C17" s="30"/>
      <c r="D17" s="30"/>
      <c r="O17" s="22"/>
    </row>
    <row r="18" spans="2:15" ht="15.6" thickTop="1" thickBot="1">
      <c r="B18" t="s">
        <v>41</v>
      </c>
      <c r="I18" s="2"/>
      <c r="J18" s="27">
        <f>'A - Didactical solutions'!F44</f>
        <v>0.17500000000000002</v>
      </c>
      <c r="K18" s="25" t="s">
        <v>96</v>
      </c>
      <c r="L18" s="9"/>
    </row>
    <row r="19" spans="2:15" ht="15.6" thickTop="1" thickBot="1">
      <c r="B19" t="s">
        <v>13</v>
      </c>
      <c r="I19" s="2"/>
      <c r="J19" s="28">
        <f>'B - Information technologies'!F31</f>
        <v>0.16800000000000001</v>
      </c>
      <c r="K19" s="25" t="s">
        <v>96</v>
      </c>
      <c r="L19" s="9"/>
    </row>
    <row r="20" spans="2:15" ht="15.6" thickTop="1" thickBot="1">
      <c r="B20" t="s">
        <v>14</v>
      </c>
      <c r="I20" s="2"/>
      <c r="J20" s="28">
        <f>'C - Structure and design'!F36</f>
        <v>0.17333333333333331</v>
      </c>
      <c r="K20" s="25" t="s">
        <v>97</v>
      </c>
      <c r="L20" s="9"/>
    </row>
    <row r="21" spans="2:15" ht="15.6" thickTop="1" thickBot="1">
      <c r="B21" t="s">
        <v>42</v>
      </c>
      <c r="I21" s="2"/>
      <c r="J21" s="28">
        <f>'D - Learning organization'!F24</f>
        <v>0.14708333333333334</v>
      </c>
      <c r="K21" s="25" t="s">
        <v>97</v>
      </c>
      <c r="L21" s="9"/>
    </row>
    <row r="22" spans="2:15" ht="15" thickTop="1"/>
    <row r="23" spans="2:15" ht="15.6" hidden="1" thickTop="1" thickBot="1">
      <c r="B23" s="4" t="s">
        <v>158</v>
      </c>
      <c r="J23" s="49">
        <f>SUM(J25:J28)</f>
        <v>0.60766666666666669</v>
      </c>
    </row>
    <row r="24" spans="2:15" ht="8.25" hidden="1" customHeight="1" thickTop="1" thickBot="1"/>
    <row r="25" spans="2:15" ht="15.6" hidden="1" thickTop="1" thickBot="1">
      <c r="B25" t="s">
        <v>41</v>
      </c>
      <c r="I25" s="2"/>
      <c r="J25" s="27">
        <f>'A - Didactical solutions'!G44</f>
        <v>0.14500000000000002</v>
      </c>
      <c r="K25" s="25" t="s">
        <v>96</v>
      </c>
    </row>
    <row r="26" spans="2:15" ht="15.6" hidden="1" thickTop="1" thickBot="1">
      <c r="B26" t="s">
        <v>13</v>
      </c>
      <c r="I26" s="2"/>
      <c r="J26" s="28">
        <f>'B - Information technologies'!G31</f>
        <v>0.16800000000000001</v>
      </c>
      <c r="K26" s="25" t="s">
        <v>96</v>
      </c>
    </row>
    <row r="27" spans="2:15" ht="15.6" hidden="1" thickTop="1" thickBot="1">
      <c r="B27" t="s">
        <v>14</v>
      </c>
      <c r="I27" s="2"/>
      <c r="J27" s="28">
        <f>'C - Structure and design'!G36</f>
        <v>0.16133333333333333</v>
      </c>
      <c r="K27" s="25" t="s">
        <v>97</v>
      </c>
    </row>
    <row r="28" spans="2:15" ht="15.6" hidden="1" thickTop="1" thickBot="1">
      <c r="B28" t="s">
        <v>42</v>
      </c>
      <c r="I28" s="2"/>
      <c r="J28" s="28">
        <f>'D - Learning organization'!G24</f>
        <v>0.13333333333333333</v>
      </c>
      <c r="K28" s="25" t="s">
        <v>97</v>
      </c>
    </row>
  </sheetData>
  <sheetProtection password="C7FA" sheet="1" objects="1" scenarios="1"/>
  <mergeCells count="19">
    <mergeCell ref="B7:D7"/>
    <mergeCell ref="B2:K2"/>
    <mergeCell ref="B5:D5"/>
    <mergeCell ref="E5:K5"/>
    <mergeCell ref="B6:D6"/>
    <mergeCell ref="E6:K6"/>
    <mergeCell ref="C1:K1"/>
    <mergeCell ref="E7:J7"/>
    <mergeCell ref="B14:D14"/>
    <mergeCell ref="E14:K14"/>
    <mergeCell ref="B8:K8"/>
    <mergeCell ref="B10:D10"/>
    <mergeCell ref="E10:K10"/>
    <mergeCell ref="B12:D12"/>
    <mergeCell ref="E12:K12"/>
    <mergeCell ref="B3:D3"/>
    <mergeCell ref="E3:K3"/>
    <mergeCell ref="B4:D4"/>
    <mergeCell ref="E4:K4"/>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N47"/>
  <sheetViews>
    <sheetView zoomScaleNormal="100" workbookViewId="0">
      <selection activeCell="L1" sqref="L1:L1048576"/>
    </sheetView>
  </sheetViews>
  <sheetFormatPr defaultColWidth="34.5546875" defaultRowHeight="14.4"/>
  <cols>
    <col min="1" max="1" width="4.44140625" style="11" customWidth="1"/>
    <col min="2" max="2" width="37.44140625" style="10" customWidth="1"/>
    <col min="3" max="3" width="17" style="11" customWidth="1"/>
    <col min="4" max="4" width="16" style="11" hidden="1" customWidth="1"/>
    <col min="5" max="5" width="0.33203125" style="12" hidden="1" customWidth="1"/>
    <col min="6" max="6" width="7.88671875" style="11" customWidth="1"/>
    <col min="7" max="7" width="7.88671875" style="11" hidden="1" customWidth="1"/>
    <col min="8" max="8" width="6.109375" style="11" customWidth="1"/>
    <col min="9" max="9" width="3.5546875" style="11" customWidth="1"/>
    <col min="10" max="10" width="37.109375" style="11" customWidth="1"/>
    <col min="11" max="11" width="23.6640625" style="11" customWidth="1"/>
    <col min="12" max="12" width="32.109375" style="11" hidden="1" customWidth="1"/>
    <col min="13" max="13" width="3" style="11" customWidth="1"/>
    <col min="14" max="14" width="34.5546875" style="11" hidden="1" customWidth="1"/>
    <col min="15" max="16384" width="34.5546875" style="11"/>
  </cols>
  <sheetData>
    <row r="1" spans="1:14" s="19" customFormat="1">
      <c r="A1" s="31" t="s">
        <v>100</v>
      </c>
      <c r="B1" s="18"/>
      <c r="E1" s="20"/>
    </row>
    <row r="2" spans="1:14" ht="63" customHeight="1">
      <c r="A2" s="59" t="s">
        <v>75</v>
      </c>
      <c r="B2" s="60" t="s">
        <v>162</v>
      </c>
      <c r="C2" s="61" t="s">
        <v>118</v>
      </c>
      <c r="D2" s="62" t="s">
        <v>156</v>
      </c>
      <c r="E2" s="63" t="s">
        <v>9</v>
      </c>
      <c r="F2" s="63" t="s">
        <v>12</v>
      </c>
      <c r="G2" s="64" t="s">
        <v>157</v>
      </c>
      <c r="H2" s="65"/>
      <c r="I2" s="65"/>
      <c r="J2" s="66" t="s">
        <v>119</v>
      </c>
      <c r="K2" s="67" t="s">
        <v>173</v>
      </c>
      <c r="L2" s="64" t="s">
        <v>178</v>
      </c>
    </row>
    <row r="3" spans="1:14" ht="28.8">
      <c r="A3" s="58" t="s">
        <v>3</v>
      </c>
      <c r="B3" s="78" t="s">
        <v>36</v>
      </c>
      <c r="C3" s="65"/>
      <c r="D3" s="65"/>
      <c r="E3" s="79"/>
      <c r="F3" s="79"/>
      <c r="G3" s="79"/>
      <c r="I3" s="11" t="s">
        <v>3</v>
      </c>
      <c r="J3" s="148" t="s">
        <v>202</v>
      </c>
      <c r="K3" s="119" t="s">
        <v>203</v>
      </c>
      <c r="L3" s="119" t="s">
        <v>225</v>
      </c>
      <c r="N3" s="51" t="s">
        <v>121</v>
      </c>
    </row>
    <row r="4" spans="1:14" s="32" customFormat="1" ht="38.25" customHeight="1">
      <c r="A4" s="37">
        <v>1</v>
      </c>
      <c r="B4" s="38" t="s">
        <v>43</v>
      </c>
      <c r="C4" s="95" t="s">
        <v>123</v>
      </c>
      <c r="D4" s="95" t="s">
        <v>123</v>
      </c>
      <c r="E4" s="33">
        <f>1.5/100</f>
        <v>1.4999999999999999E-2</v>
      </c>
      <c r="F4" s="52">
        <f t="shared" ref="F4:G6" si="0">IF(C4="0 - not considered at all",0*$E4,IF(C4="1 -  planned, not implemented",1*$E4/3,IF(C4="2 - partially implemented",2*$E4/3,$E4)))</f>
        <v>0.01</v>
      </c>
      <c r="G4" s="53">
        <f t="shared" si="0"/>
        <v>0.01</v>
      </c>
      <c r="J4" s="148"/>
      <c r="K4" s="120"/>
      <c r="L4" s="120"/>
      <c r="N4" s="51" t="s">
        <v>122</v>
      </c>
    </row>
    <row r="5" spans="1:14" s="32" customFormat="1" ht="28.5" customHeight="1">
      <c r="A5" s="37">
        <v>2</v>
      </c>
      <c r="B5" s="38" t="s">
        <v>45</v>
      </c>
      <c r="C5" s="95" t="s">
        <v>123</v>
      </c>
      <c r="D5" s="95" t="s">
        <v>123</v>
      </c>
      <c r="E5" s="33">
        <f>1.5/100</f>
        <v>1.4999999999999999E-2</v>
      </c>
      <c r="F5" s="52">
        <f t="shared" si="0"/>
        <v>0.01</v>
      </c>
      <c r="G5" s="53">
        <f t="shared" si="0"/>
        <v>0.01</v>
      </c>
      <c r="J5" s="148"/>
      <c r="K5" s="120"/>
      <c r="L5" s="120"/>
      <c r="N5" s="51" t="s">
        <v>123</v>
      </c>
    </row>
    <row r="6" spans="1:14" s="32" customFormat="1" ht="41.4">
      <c r="A6" s="37">
        <v>3</v>
      </c>
      <c r="B6" s="39" t="s">
        <v>66</v>
      </c>
      <c r="C6" s="95" t="s">
        <v>122</v>
      </c>
      <c r="D6" s="95" t="s">
        <v>122</v>
      </c>
      <c r="E6" s="33">
        <f>2/100</f>
        <v>0.02</v>
      </c>
      <c r="F6" s="52">
        <f t="shared" si="0"/>
        <v>6.6666666666666671E-3</v>
      </c>
      <c r="G6" s="53">
        <f t="shared" si="0"/>
        <v>6.6666666666666671E-3</v>
      </c>
      <c r="J6" s="148"/>
      <c r="K6" s="121"/>
      <c r="L6" s="121"/>
      <c r="N6" s="51" t="s">
        <v>124</v>
      </c>
    </row>
    <row r="7" spans="1:14" ht="17.25" customHeight="1">
      <c r="A7" s="36" t="s">
        <v>8</v>
      </c>
      <c r="B7" s="14"/>
      <c r="C7" s="122" t="s">
        <v>166</v>
      </c>
      <c r="D7" s="123"/>
      <c r="E7" s="124"/>
      <c r="F7" s="21">
        <f>SUM(F4:F6)</f>
        <v>2.6666666666666668E-2</v>
      </c>
      <c r="G7" s="21">
        <f>SUM(G4:G6)</f>
        <v>2.6666666666666668E-2</v>
      </c>
      <c r="H7" s="70" t="s">
        <v>193</v>
      </c>
      <c r="I7" s="69"/>
      <c r="J7" s="80"/>
      <c r="K7" s="80"/>
      <c r="L7" s="81"/>
    </row>
    <row r="8" spans="1:14">
      <c r="A8" s="35" t="s">
        <v>4</v>
      </c>
      <c r="B8" s="84" t="s">
        <v>10</v>
      </c>
      <c r="C8" s="65"/>
      <c r="D8" s="82"/>
      <c r="E8" s="91"/>
      <c r="F8" s="79"/>
      <c r="G8" s="79"/>
      <c r="I8" s="11" t="s">
        <v>4</v>
      </c>
      <c r="J8" s="119" t="s">
        <v>204</v>
      </c>
      <c r="K8" s="119" t="s">
        <v>226</v>
      </c>
      <c r="L8" s="119" t="s">
        <v>227</v>
      </c>
    </row>
    <row r="9" spans="1:14" ht="41.4">
      <c r="A9" s="36">
        <v>1</v>
      </c>
      <c r="B9" s="38" t="s">
        <v>163</v>
      </c>
      <c r="C9" s="95" t="s">
        <v>123</v>
      </c>
      <c r="D9" s="95" t="s">
        <v>122</v>
      </c>
      <c r="E9" s="33">
        <f>2*0.5/100</f>
        <v>0.01</v>
      </c>
      <c r="F9" s="52">
        <f t="shared" ref="F9:F14" si="1">IF(C9="0 - not considered at all",0*$E9,IF(C9="1 -  planned, not implemented",1*$E9/3,IF(C9="2 - partially implemented",2*$E9/3,$E9)))</f>
        <v>6.6666666666666671E-3</v>
      </c>
      <c r="G9" s="53">
        <f t="shared" ref="G9:G14" si="2">IF(D9="0 - not considered at all",0*$E9,IF(D9="1 -  planned, not implemented",1*$E9/3,IF(D9="2 - partially implemented",2*$E9/3,$E9)))</f>
        <v>3.3333333333333335E-3</v>
      </c>
      <c r="J9" s="120"/>
      <c r="K9" s="120"/>
      <c r="L9" s="120"/>
    </row>
    <row r="10" spans="1:14" ht="27.6">
      <c r="A10" s="36">
        <v>2</v>
      </c>
      <c r="B10" s="38" t="s">
        <v>46</v>
      </c>
      <c r="C10" s="95" t="s">
        <v>123</v>
      </c>
      <c r="D10" s="95" t="s">
        <v>122</v>
      </c>
      <c r="E10" s="33">
        <f>0.5/100</f>
        <v>5.0000000000000001E-3</v>
      </c>
      <c r="F10" s="52">
        <f t="shared" si="1"/>
        <v>3.3333333333333335E-3</v>
      </c>
      <c r="G10" s="53">
        <f t="shared" si="2"/>
        <v>1.6666666666666668E-3</v>
      </c>
      <c r="J10" s="120"/>
      <c r="K10" s="120"/>
      <c r="L10" s="120"/>
    </row>
    <row r="11" spans="1:14" ht="27.6">
      <c r="A11" s="36">
        <v>3</v>
      </c>
      <c r="B11" s="39" t="s">
        <v>47</v>
      </c>
      <c r="C11" s="95" t="s">
        <v>123</v>
      </c>
      <c r="D11" s="95" t="s">
        <v>122</v>
      </c>
      <c r="E11" s="33">
        <f>2*0.5/100</f>
        <v>0.01</v>
      </c>
      <c r="F11" s="52">
        <f t="shared" si="1"/>
        <v>6.6666666666666671E-3</v>
      </c>
      <c r="G11" s="53">
        <f t="shared" si="2"/>
        <v>3.3333333333333335E-3</v>
      </c>
      <c r="J11" s="120"/>
      <c r="K11" s="120"/>
      <c r="L11" s="120"/>
    </row>
    <row r="12" spans="1:14" ht="27.6">
      <c r="A12" s="36">
        <v>4</v>
      </c>
      <c r="B12" s="39" t="s">
        <v>48</v>
      </c>
      <c r="C12" s="95" t="s">
        <v>123</v>
      </c>
      <c r="D12" s="95" t="s">
        <v>123</v>
      </c>
      <c r="E12" s="33">
        <f>2*0.5/100</f>
        <v>0.01</v>
      </c>
      <c r="F12" s="52">
        <f t="shared" si="1"/>
        <v>6.6666666666666671E-3</v>
      </c>
      <c r="G12" s="53">
        <f t="shared" si="2"/>
        <v>6.6666666666666671E-3</v>
      </c>
      <c r="J12" s="120"/>
      <c r="K12" s="120"/>
      <c r="L12" s="120"/>
    </row>
    <row r="13" spans="1:14" ht="27.6">
      <c r="A13" s="36">
        <v>5</v>
      </c>
      <c r="B13" s="39" t="s">
        <v>50</v>
      </c>
      <c r="C13" s="95" t="s">
        <v>123</v>
      </c>
      <c r="D13" s="95" t="s">
        <v>122</v>
      </c>
      <c r="E13" s="33">
        <f>2*0.5/100</f>
        <v>0.01</v>
      </c>
      <c r="F13" s="52">
        <f t="shared" si="1"/>
        <v>6.6666666666666671E-3</v>
      </c>
      <c r="G13" s="53">
        <f t="shared" si="2"/>
        <v>3.3333333333333335E-3</v>
      </c>
      <c r="J13" s="120"/>
      <c r="K13" s="120"/>
      <c r="L13" s="120"/>
    </row>
    <row r="14" spans="1:14" ht="41.4">
      <c r="A14" s="36">
        <v>6</v>
      </c>
      <c r="B14" s="39" t="s">
        <v>49</v>
      </c>
      <c r="C14" s="95" t="s">
        <v>122</v>
      </c>
      <c r="D14" s="95" t="s">
        <v>121</v>
      </c>
      <c r="E14" s="33">
        <f>0.5/100</f>
        <v>5.0000000000000001E-3</v>
      </c>
      <c r="F14" s="52">
        <f t="shared" si="1"/>
        <v>1.6666666666666668E-3</v>
      </c>
      <c r="G14" s="53">
        <f t="shared" si="2"/>
        <v>0</v>
      </c>
      <c r="J14" s="121"/>
      <c r="K14" s="121"/>
      <c r="L14" s="121"/>
    </row>
    <row r="15" spans="1:14">
      <c r="A15" s="36" t="s">
        <v>8</v>
      </c>
      <c r="B15" s="14"/>
      <c r="C15" s="122" t="s">
        <v>167</v>
      </c>
      <c r="D15" s="123"/>
      <c r="E15" s="124"/>
      <c r="F15" s="21">
        <f>SUM(F9:F14)</f>
        <v>3.1666666666666669E-2</v>
      </c>
      <c r="G15" s="21">
        <f>SUM(G9:G14)</f>
        <v>1.8333333333333333E-2</v>
      </c>
      <c r="H15" s="70" t="s">
        <v>193</v>
      </c>
      <c r="I15" s="69"/>
      <c r="J15" s="80"/>
      <c r="K15" s="80"/>
      <c r="L15" s="80"/>
    </row>
    <row r="16" spans="1:14" ht="30" customHeight="1">
      <c r="A16" s="35" t="s">
        <v>5</v>
      </c>
      <c r="B16" s="84" t="s">
        <v>37</v>
      </c>
      <c r="C16" s="65"/>
      <c r="D16" s="65"/>
      <c r="E16" s="79"/>
      <c r="F16" s="79"/>
      <c r="G16" s="79"/>
      <c r="I16" s="11" t="s">
        <v>5</v>
      </c>
      <c r="J16" s="119" t="s">
        <v>205</v>
      </c>
      <c r="K16" s="119" t="s">
        <v>228</v>
      </c>
      <c r="L16" s="119" t="s">
        <v>229</v>
      </c>
    </row>
    <row r="17" spans="1:12" ht="30" customHeight="1">
      <c r="A17" s="36">
        <v>1</v>
      </c>
      <c r="B17" s="38" t="s">
        <v>53</v>
      </c>
      <c r="C17" s="95" t="s">
        <v>124</v>
      </c>
      <c r="D17" s="95" t="s">
        <v>123</v>
      </c>
      <c r="E17" s="33">
        <f>0.2*0.05</f>
        <v>1.0000000000000002E-2</v>
      </c>
      <c r="F17" s="52">
        <f t="shared" ref="F17:G24" si="3">IF(C17="0 - not considered at all",0*$E17,IF(C17="1 -  planned, not implemented",1*$E17/3,IF(C17="2 - partially implemented",2*$E17/3,$E17)))</f>
        <v>1.0000000000000002E-2</v>
      </c>
      <c r="G17" s="53">
        <f t="shared" si="3"/>
        <v>6.666666666666668E-3</v>
      </c>
      <c r="J17" s="120"/>
      <c r="K17" s="120"/>
      <c r="L17" s="120"/>
    </row>
    <row r="18" spans="1:12" ht="41.4">
      <c r="A18" s="36">
        <v>2</v>
      </c>
      <c r="B18" s="38" t="s">
        <v>54</v>
      </c>
      <c r="C18" s="95" t="s">
        <v>122</v>
      </c>
      <c r="D18" s="95" t="s">
        <v>122</v>
      </c>
      <c r="E18" s="33">
        <f>0.1*0.05</f>
        <v>5.000000000000001E-3</v>
      </c>
      <c r="F18" s="52">
        <f t="shared" si="3"/>
        <v>1.666666666666667E-3</v>
      </c>
      <c r="G18" s="53">
        <f t="shared" si="3"/>
        <v>1.666666666666667E-3</v>
      </c>
      <c r="J18" s="120"/>
      <c r="K18" s="120"/>
      <c r="L18" s="120"/>
    </row>
    <row r="19" spans="1:12" ht="27.6">
      <c r="A19" s="36">
        <v>3</v>
      </c>
      <c r="B19" s="38" t="s">
        <v>55</v>
      </c>
      <c r="C19" s="95" t="s">
        <v>121</v>
      </c>
      <c r="D19" s="95" t="s">
        <v>121</v>
      </c>
      <c r="E19" s="33">
        <f t="shared" ref="E19:E24" si="4">0.1*0.05</f>
        <v>5.000000000000001E-3</v>
      </c>
      <c r="F19" s="52">
        <f t="shared" si="3"/>
        <v>0</v>
      </c>
      <c r="G19" s="53">
        <f t="shared" si="3"/>
        <v>0</v>
      </c>
      <c r="J19" s="120"/>
      <c r="K19" s="120"/>
      <c r="L19" s="120"/>
    </row>
    <row r="20" spans="1:12" ht="27.6">
      <c r="A20" s="36">
        <v>4</v>
      </c>
      <c r="B20" s="38" t="s">
        <v>56</v>
      </c>
      <c r="C20" s="95" t="s">
        <v>121</v>
      </c>
      <c r="D20" s="95" t="s">
        <v>121</v>
      </c>
      <c r="E20" s="33">
        <f t="shared" si="4"/>
        <v>5.000000000000001E-3</v>
      </c>
      <c r="F20" s="52">
        <f t="shared" si="3"/>
        <v>0</v>
      </c>
      <c r="G20" s="53">
        <f t="shared" si="3"/>
        <v>0</v>
      </c>
      <c r="J20" s="120"/>
      <c r="K20" s="120"/>
      <c r="L20" s="120"/>
    </row>
    <row r="21" spans="1:12" ht="27.6">
      <c r="A21" s="36">
        <v>5</v>
      </c>
      <c r="B21" s="38" t="s">
        <v>57</v>
      </c>
      <c r="C21" s="95" t="s">
        <v>122</v>
      </c>
      <c r="D21" s="95" t="s">
        <v>122</v>
      </c>
      <c r="E21" s="33">
        <f t="shared" si="4"/>
        <v>5.000000000000001E-3</v>
      </c>
      <c r="F21" s="52">
        <f t="shared" si="3"/>
        <v>1.666666666666667E-3</v>
      </c>
      <c r="G21" s="53">
        <f t="shared" si="3"/>
        <v>1.666666666666667E-3</v>
      </c>
      <c r="J21" s="120"/>
      <c r="K21" s="120"/>
      <c r="L21" s="120"/>
    </row>
    <row r="22" spans="1:12" ht="27.6">
      <c r="A22" s="36">
        <v>6</v>
      </c>
      <c r="B22" s="38" t="s">
        <v>58</v>
      </c>
      <c r="C22" s="95" t="s">
        <v>123</v>
      </c>
      <c r="D22" s="95" t="s">
        <v>123</v>
      </c>
      <c r="E22" s="33">
        <f>0.2*0.05</f>
        <v>1.0000000000000002E-2</v>
      </c>
      <c r="F22" s="52">
        <f t="shared" si="3"/>
        <v>6.666666666666668E-3</v>
      </c>
      <c r="G22" s="53">
        <f t="shared" si="3"/>
        <v>6.666666666666668E-3</v>
      </c>
      <c r="J22" s="120"/>
      <c r="K22" s="120"/>
      <c r="L22" s="120"/>
    </row>
    <row r="23" spans="1:12" ht="41.4">
      <c r="A23" s="36">
        <v>7</v>
      </c>
      <c r="B23" s="38" t="s">
        <v>60</v>
      </c>
      <c r="C23" s="95" t="s">
        <v>122</v>
      </c>
      <c r="D23" s="95" t="s">
        <v>122</v>
      </c>
      <c r="E23" s="33">
        <f t="shared" si="4"/>
        <v>5.000000000000001E-3</v>
      </c>
      <c r="F23" s="52">
        <f t="shared" si="3"/>
        <v>1.666666666666667E-3</v>
      </c>
      <c r="G23" s="53">
        <f t="shared" si="3"/>
        <v>1.666666666666667E-3</v>
      </c>
      <c r="J23" s="120"/>
      <c r="K23" s="120"/>
      <c r="L23" s="120"/>
    </row>
    <row r="24" spans="1:12" ht="29.25" customHeight="1">
      <c r="A24" s="36">
        <v>8</v>
      </c>
      <c r="B24" s="38" t="s">
        <v>59</v>
      </c>
      <c r="C24" s="95" t="s">
        <v>123</v>
      </c>
      <c r="D24" s="95" t="s">
        <v>122</v>
      </c>
      <c r="E24" s="33">
        <f t="shared" si="4"/>
        <v>5.000000000000001E-3</v>
      </c>
      <c r="F24" s="52">
        <f>IF(C24="0 - not considered at all",0*$E24,IF(C24="1 -  planned, not implemented",1*$E24/3,IF(C24="2 - partially implemented",2*$E24/3,$E24)))</f>
        <v>3.333333333333334E-3</v>
      </c>
      <c r="G24" s="53">
        <f t="shared" si="3"/>
        <v>1.666666666666667E-3</v>
      </c>
      <c r="J24" s="121"/>
      <c r="K24" s="121"/>
      <c r="L24" s="121"/>
    </row>
    <row r="25" spans="1:12">
      <c r="A25" s="36" t="s">
        <v>8</v>
      </c>
      <c r="B25" s="14"/>
      <c r="C25" s="122" t="s">
        <v>168</v>
      </c>
      <c r="D25" s="123"/>
      <c r="E25" s="124"/>
      <c r="F25" s="21">
        <f>SUM(F17:F24)</f>
        <v>2.5000000000000005E-2</v>
      </c>
      <c r="G25" s="21">
        <f>SUM(G17:G24)</f>
        <v>2.0000000000000004E-2</v>
      </c>
      <c r="H25" s="70" t="s">
        <v>193</v>
      </c>
      <c r="I25" s="69"/>
      <c r="J25" s="80"/>
      <c r="K25" s="80"/>
      <c r="L25" s="80"/>
    </row>
    <row r="26" spans="1:12" ht="30" customHeight="1">
      <c r="A26" s="35" t="s">
        <v>6</v>
      </c>
      <c r="B26" s="84" t="s">
        <v>38</v>
      </c>
      <c r="C26" s="65"/>
      <c r="D26" s="65"/>
      <c r="E26" s="79"/>
      <c r="F26" s="79"/>
      <c r="G26" s="79"/>
      <c r="I26" s="11" t="s">
        <v>6</v>
      </c>
      <c r="J26" s="119" t="s">
        <v>206</v>
      </c>
      <c r="K26" s="119" t="s">
        <v>230</v>
      </c>
      <c r="L26" s="119" t="s">
        <v>231</v>
      </c>
    </row>
    <row r="27" spans="1:12" ht="27.6">
      <c r="A27" s="36">
        <v>1</v>
      </c>
      <c r="B27" s="38" t="s">
        <v>67</v>
      </c>
      <c r="C27" s="95" t="s">
        <v>122</v>
      </c>
      <c r="D27" s="95" t="s">
        <v>122</v>
      </c>
      <c r="E27" s="57">
        <f>0.4*0.05</f>
        <v>2.0000000000000004E-2</v>
      </c>
      <c r="F27" s="52">
        <f t="shared" ref="F27:G29" si="5">IF(C27="0 - not considered at all",0*$E27,IF(C27="1 -  planned, not implemented",1*$E27/3,IF(C27="2 - partially implemented",2*$E27/3,$E27)))</f>
        <v>6.666666666666668E-3</v>
      </c>
      <c r="G27" s="53">
        <f t="shared" si="5"/>
        <v>6.666666666666668E-3</v>
      </c>
      <c r="J27" s="120"/>
      <c r="K27" s="120"/>
      <c r="L27" s="120"/>
    </row>
    <row r="28" spans="1:12" ht="27.6">
      <c r="A28" s="36">
        <v>2</v>
      </c>
      <c r="B28" s="38" t="s">
        <v>44</v>
      </c>
      <c r="C28" s="95" t="s">
        <v>124</v>
      </c>
      <c r="D28" s="95" t="s">
        <v>123</v>
      </c>
      <c r="E28" s="57">
        <f>0.3*0.05</f>
        <v>1.4999999999999999E-2</v>
      </c>
      <c r="F28" s="52">
        <f t="shared" si="5"/>
        <v>1.4999999999999999E-2</v>
      </c>
      <c r="G28" s="53">
        <f t="shared" si="5"/>
        <v>0.01</v>
      </c>
      <c r="J28" s="120"/>
      <c r="K28" s="120"/>
      <c r="L28" s="120"/>
    </row>
    <row r="29" spans="1:12" ht="41.4">
      <c r="A29" s="36">
        <v>3</v>
      </c>
      <c r="B29" s="39" t="s">
        <v>61</v>
      </c>
      <c r="C29" s="95" t="s">
        <v>124</v>
      </c>
      <c r="D29" s="95" t="s">
        <v>124</v>
      </c>
      <c r="E29" s="57">
        <f>0.3*0.05</f>
        <v>1.4999999999999999E-2</v>
      </c>
      <c r="F29" s="52">
        <f t="shared" si="5"/>
        <v>1.4999999999999999E-2</v>
      </c>
      <c r="G29" s="53">
        <f t="shared" si="5"/>
        <v>1.4999999999999999E-2</v>
      </c>
      <c r="J29" s="121"/>
      <c r="K29" s="121"/>
      <c r="L29" s="121"/>
    </row>
    <row r="30" spans="1:12">
      <c r="A30" s="36" t="s">
        <v>8</v>
      </c>
      <c r="B30" s="14"/>
      <c r="C30" s="122" t="s">
        <v>169</v>
      </c>
      <c r="D30" s="123"/>
      <c r="E30" s="124"/>
      <c r="F30" s="21">
        <f>SUM(F27:F29)</f>
        <v>3.6666666666666667E-2</v>
      </c>
      <c r="G30" s="21">
        <f>SUM(G27:G29)</f>
        <v>3.1666666666666669E-2</v>
      </c>
      <c r="H30" s="70" t="s">
        <v>193</v>
      </c>
      <c r="I30" s="69"/>
      <c r="J30" s="80"/>
      <c r="K30" s="80"/>
      <c r="L30" s="80"/>
    </row>
    <row r="31" spans="1:12" ht="32.25" customHeight="1">
      <c r="A31" s="35" t="s">
        <v>7</v>
      </c>
      <c r="B31" s="84" t="s">
        <v>39</v>
      </c>
      <c r="C31" s="65"/>
      <c r="D31" s="65"/>
      <c r="E31" s="79"/>
      <c r="F31" s="79"/>
      <c r="G31" s="79"/>
      <c r="I31" s="11" t="s">
        <v>7</v>
      </c>
      <c r="J31" s="119" t="s">
        <v>207</v>
      </c>
      <c r="K31" s="119" t="s">
        <v>232</v>
      </c>
      <c r="L31" s="119" t="s">
        <v>233</v>
      </c>
    </row>
    <row r="32" spans="1:12" ht="41.4">
      <c r="A32" s="36">
        <v>1</v>
      </c>
      <c r="B32" s="38" t="s">
        <v>62</v>
      </c>
      <c r="C32" s="95" t="s">
        <v>123</v>
      </c>
      <c r="D32" s="95" t="s">
        <v>123</v>
      </c>
      <c r="E32" s="33">
        <f>0.2*0.05</f>
        <v>1.0000000000000002E-2</v>
      </c>
      <c r="F32" s="52">
        <f t="shared" ref="F32:G36" si="6">IF(C32="0 - not considered at all",0*$E32,IF(C32="1 -  planned, not implemented",1*$E32/3,IF(C32="2 - partially implemented",2*$E32/3,$E32)))</f>
        <v>6.666666666666668E-3</v>
      </c>
      <c r="G32" s="53">
        <f t="shared" si="6"/>
        <v>6.666666666666668E-3</v>
      </c>
      <c r="J32" s="120"/>
      <c r="K32" s="120"/>
      <c r="L32" s="120"/>
    </row>
    <row r="33" spans="1:12" ht="30" customHeight="1">
      <c r="A33" s="36">
        <v>2</v>
      </c>
      <c r="B33" s="38" t="s">
        <v>98</v>
      </c>
      <c r="C33" s="95" t="s">
        <v>123</v>
      </c>
      <c r="D33" s="95" t="s">
        <v>122</v>
      </c>
      <c r="E33" s="33">
        <f>0.2*0.05</f>
        <v>1.0000000000000002E-2</v>
      </c>
      <c r="F33" s="52">
        <f t="shared" si="6"/>
        <v>6.666666666666668E-3</v>
      </c>
      <c r="G33" s="53">
        <f t="shared" si="6"/>
        <v>3.333333333333334E-3</v>
      </c>
      <c r="J33" s="120"/>
      <c r="K33" s="120"/>
      <c r="L33" s="120"/>
    </row>
    <row r="34" spans="1:12" ht="27.75" customHeight="1">
      <c r="A34" s="36">
        <v>3</v>
      </c>
      <c r="B34" s="38" t="s">
        <v>99</v>
      </c>
      <c r="C34" s="95" t="s">
        <v>123</v>
      </c>
      <c r="D34" s="95" t="s">
        <v>123</v>
      </c>
      <c r="E34" s="33">
        <f>0.1*0.05</f>
        <v>5.000000000000001E-3</v>
      </c>
      <c r="F34" s="52">
        <f t="shared" si="6"/>
        <v>3.333333333333334E-3</v>
      </c>
      <c r="G34" s="53">
        <f t="shared" si="6"/>
        <v>3.333333333333334E-3</v>
      </c>
      <c r="J34" s="120"/>
      <c r="K34" s="120"/>
      <c r="L34" s="120"/>
    </row>
    <row r="35" spans="1:12" ht="27.75" customHeight="1">
      <c r="A35" s="36">
        <v>4</v>
      </c>
      <c r="B35" s="38" t="s">
        <v>51</v>
      </c>
      <c r="C35" s="95" t="s">
        <v>122</v>
      </c>
      <c r="D35" s="95" t="s">
        <v>122</v>
      </c>
      <c r="E35" s="33">
        <f>0.3*0.05</f>
        <v>1.4999999999999999E-2</v>
      </c>
      <c r="F35" s="52">
        <f t="shared" si="6"/>
        <v>5.0000000000000001E-3</v>
      </c>
      <c r="G35" s="53">
        <f t="shared" si="6"/>
        <v>5.0000000000000001E-3</v>
      </c>
      <c r="J35" s="120"/>
      <c r="K35" s="120"/>
      <c r="L35" s="120"/>
    </row>
    <row r="36" spans="1:12" ht="27.6">
      <c r="A36" s="36">
        <v>5</v>
      </c>
      <c r="B36" s="38" t="s">
        <v>52</v>
      </c>
      <c r="C36" s="95" t="s">
        <v>123</v>
      </c>
      <c r="D36" s="95" t="s">
        <v>123</v>
      </c>
      <c r="E36" s="33">
        <f>0.2*0.05</f>
        <v>1.0000000000000002E-2</v>
      </c>
      <c r="F36" s="52">
        <f t="shared" si="6"/>
        <v>6.666666666666668E-3</v>
      </c>
      <c r="G36" s="53">
        <f t="shared" si="6"/>
        <v>6.666666666666668E-3</v>
      </c>
      <c r="J36" s="121"/>
      <c r="K36" s="121"/>
      <c r="L36" s="121"/>
    </row>
    <row r="37" spans="1:12">
      <c r="A37" s="36" t="s">
        <v>8</v>
      </c>
      <c r="B37" s="14"/>
      <c r="C37" s="122" t="s">
        <v>170</v>
      </c>
      <c r="D37" s="123"/>
      <c r="E37" s="124"/>
      <c r="F37" s="21">
        <f>SUM(F32:F36)</f>
        <v>2.8333333333333339E-2</v>
      </c>
      <c r="G37" s="21">
        <f>SUM(G32:G36)</f>
        <v>2.5000000000000005E-2</v>
      </c>
      <c r="H37" s="70" t="s">
        <v>193</v>
      </c>
      <c r="I37" s="69"/>
      <c r="J37" s="80"/>
      <c r="K37" s="80"/>
      <c r="L37" s="80"/>
    </row>
    <row r="38" spans="1:12" ht="26.25" customHeight="1">
      <c r="A38" s="35" t="s">
        <v>40</v>
      </c>
      <c r="B38" s="90" t="s">
        <v>11</v>
      </c>
      <c r="C38" s="65"/>
      <c r="D38" s="65"/>
      <c r="E38" s="79"/>
      <c r="F38" s="79"/>
      <c r="G38" s="79"/>
      <c r="I38" s="11" t="s">
        <v>40</v>
      </c>
      <c r="J38" s="119" t="s">
        <v>208</v>
      </c>
      <c r="K38" s="119" t="s">
        <v>234</v>
      </c>
      <c r="L38" s="119" t="s">
        <v>235</v>
      </c>
    </row>
    <row r="39" spans="1:12" ht="41.4">
      <c r="A39" s="36">
        <v>1</v>
      </c>
      <c r="B39" s="38" t="s">
        <v>63</v>
      </c>
      <c r="C39" s="95" t="s">
        <v>123</v>
      </c>
      <c r="D39" s="95" t="s">
        <v>123</v>
      </c>
      <c r="E39" s="33">
        <f>0.3*0.05</f>
        <v>1.4999999999999999E-2</v>
      </c>
      <c r="F39" s="52">
        <f t="shared" ref="F39:G42" si="7">IF(C39="0 - not considered at all",0*$E39,IF(C39="1 -  planned, not implemented",1*$E39/3,IF(C39="2 - partially implemented",2*$E39/3,$E39)))</f>
        <v>0.01</v>
      </c>
      <c r="G39" s="53">
        <f t="shared" si="7"/>
        <v>0.01</v>
      </c>
      <c r="J39" s="120"/>
      <c r="K39" s="120"/>
      <c r="L39" s="120"/>
    </row>
    <row r="40" spans="1:12" ht="41.4">
      <c r="A40" s="36">
        <v>2</v>
      </c>
      <c r="B40" s="38" t="s">
        <v>64</v>
      </c>
      <c r="C40" s="95" t="s">
        <v>123</v>
      </c>
      <c r="D40" s="95" t="s">
        <v>122</v>
      </c>
      <c r="E40" s="33">
        <f>0.2*0.05</f>
        <v>1.0000000000000002E-2</v>
      </c>
      <c r="F40" s="52">
        <f t="shared" si="7"/>
        <v>6.666666666666668E-3</v>
      </c>
      <c r="G40" s="53">
        <f t="shared" si="7"/>
        <v>3.333333333333334E-3</v>
      </c>
      <c r="J40" s="120"/>
      <c r="K40" s="120"/>
      <c r="L40" s="120"/>
    </row>
    <row r="41" spans="1:12" ht="44.25" customHeight="1">
      <c r="A41" s="36">
        <v>3</v>
      </c>
      <c r="B41" s="38" t="s">
        <v>68</v>
      </c>
      <c r="C41" s="95" t="s">
        <v>121</v>
      </c>
      <c r="D41" s="95" t="s">
        <v>121</v>
      </c>
      <c r="E41" s="33">
        <f>0.2*0.05</f>
        <v>1.0000000000000002E-2</v>
      </c>
      <c r="F41" s="52">
        <f t="shared" si="7"/>
        <v>0</v>
      </c>
      <c r="G41" s="53">
        <f t="shared" si="7"/>
        <v>0</v>
      </c>
      <c r="J41" s="120"/>
      <c r="K41" s="120"/>
      <c r="L41" s="120"/>
    </row>
    <row r="42" spans="1:12" ht="69">
      <c r="A42" s="36">
        <v>4</v>
      </c>
      <c r="B42" s="38" t="s">
        <v>65</v>
      </c>
      <c r="C42" s="95" t="s">
        <v>123</v>
      </c>
      <c r="D42" s="95" t="s">
        <v>123</v>
      </c>
      <c r="E42" s="33">
        <f>0.3*0.05</f>
        <v>1.4999999999999999E-2</v>
      </c>
      <c r="F42" s="52">
        <f t="shared" si="7"/>
        <v>0.01</v>
      </c>
      <c r="G42" s="53">
        <f t="shared" si="7"/>
        <v>0.01</v>
      </c>
      <c r="J42" s="121"/>
      <c r="K42" s="121"/>
      <c r="L42" s="121"/>
    </row>
    <row r="43" spans="1:12" ht="15" thickBot="1">
      <c r="A43" s="36" t="s">
        <v>8</v>
      </c>
      <c r="B43" s="14"/>
      <c r="C43" s="122" t="s">
        <v>171</v>
      </c>
      <c r="D43" s="123"/>
      <c r="E43" s="124"/>
      <c r="F43" s="21">
        <f>SUM(F39:F42)</f>
        <v>2.6666666666666672E-2</v>
      </c>
      <c r="G43" s="21">
        <f>SUM(G39:G42)</f>
        <v>2.3333333333333334E-2</v>
      </c>
      <c r="H43" s="70" t="s">
        <v>193</v>
      </c>
      <c r="I43" s="70"/>
    </row>
    <row r="44" spans="1:12" ht="15" thickBot="1">
      <c r="C44" s="125" t="s">
        <v>172</v>
      </c>
      <c r="D44" s="125"/>
      <c r="F44" s="71">
        <f>SUM(F7,F15,F25,F30,F37,F43)</f>
        <v>0.17500000000000002</v>
      </c>
      <c r="G44" s="83">
        <f>SUM(G7,G15,G25,G30,G37,G43)</f>
        <v>0.14500000000000002</v>
      </c>
      <c r="H44" s="34"/>
    </row>
    <row r="45" spans="1:12">
      <c r="C45" s="126" t="s">
        <v>183</v>
      </c>
      <c r="D45" s="126"/>
      <c r="E45" s="43"/>
      <c r="F45" s="50">
        <v>30</v>
      </c>
      <c r="G45" s="44"/>
      <c r="H45" s="17"/>
    </row>
    <row r="47" spans="1:12" customFormat="1" ht="32.25" customHeight="1">
      <c r="A47" s="102" t="s">
        <v>153</v>
      </c>
      <c r="B47" s="102"/>
      <c r="C47" s="46"/>
      <c r="D47" s="103" t="s">
        <v>154</v>
      </c>
      <c r="E47" s="103"/>
      <c r="F47" s="103"/>
      <c r="G47" s="103"/>
      <c r="H47" s="103"/>
      <c r="I47" s="103"/>
      <c r="J47" s="103"/>
      <c r="K47" s="47"/>
      <c r="L47" s="46"/>
    </row>
  </sheetData>
  <sheetProtection password="C7FA" sheet="1" objects="1" scenarios="1" formatRows="0"/>
  <mergeCells count="28">
    <mergeCell ref="A47:B47"/>
    <mergeCell ref="D47:J47"/>
    <mergeCell ref="C43:E43"/>
    <mergeCell ref="C37:E37"/>
    <mergeCell ref="J38:J42"/>
    <mergeCell ref="C44:D44"/>
    <mergeCell ref="C45:D45"/>
    <mergeCell ref="C7:E7"/>
    <mergeCell ref="C15:E15"/>
    <mergeCell ref="C25:E25"/>
    <mergeCell ref="C30:E30"/>
    <mergeCell ref="L38:L42"/>
    <mergeCell ref="K31:K36"/>
    <mergeCell ref="K38:K42"/>
    <mergeCell ref="K26:K29"/>
    <mergeCell ref="J26:J29"/>
    <mergeCell ref="J31:J36"/>
    <mergeCell ref="L26:L29"/>
    <mergeCell ref="L31:L36"/>
    <mergeCell ref="L3:L6"/>
    <mergeCell ref="L8:L14"/>
    <mergeCell ref="L16:L24"/>
    <mergeCell ref="J3:J6"/>
    <mergeCell ref="K3:K6"/>
    <mergeCell ref="K8:K14"/>
    <mergeCell ref="K16:K24"/>
    <mergeCell ref="J8:J14"/>
    <mergeCell ref="J16:J24"/>
  </mergeCells>
  <phoneticPr fontId="7" type="noConversion"/>
  <dataValidations count="1">
    <dataValidation type="list" allowBlank="1" showInputMessage="1" showErrorMessage="1" sqref="C39:D42 C4:D6 C9:D14 C17:D24 C27:D29 C32:D36">
      <formula1>$N$3:$N$6</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2" manualBreakCount="2">
    <brk id="15" max="16383" man="1"/>
    <brk id="30"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dimension ref="A1:M34"/>
  <sheetViews>
    <sheetView zoomScaleNormal="100" workbookViewId="0">
      <selection activeCell="M1" sqref="M1:M1048576"/>
    </sheetView>
  </sheetViews>
  <sheetFormatPr defaultColWidth="34.5546875" defaultRowHeight="14.4"/>
  <cols>
    <col min="1" max="1" width="4.44140625" style="11" customWidth="1"/>
    <col min="2" max="2" width="36.5546875" style="10" customWidth="1"/>
    <col min="3" max="3" width="17.6640625" style="11" customWidth="1"/>
    <col min="4" max="4" width="17.6640625" style="12" hidden="1" customWidth="1"/>
    <col min="5" max="5" width="7.109375" style="12" hidden="1" customWidth="1"/>
    <col min="6" max="6" width="7.88671875" style="12" customWidth="1"/>
    <col min="7" max="7" width="8.5546875" style="12" hidden="1" customWidth="1"/>
    <col min="8" max="8" width="7.5546875" style="11" customWidth="1"/>
    <col min="9" max="9" width="3.5546875" style="11" customWidth="1"/>
    <col min="10" max="10" width="38.6640625" style="11" customWidth="1"/>
    <col min="11" max="11" width="24.109375" style="11" customWidth="1"/>
    <col min="12" max="12" width="0.44140625" style="11" hidden="1" customWidth="1"/>
    <col min="13" max="13" width="35.44140625" style="11" hidden="1" customWidth="1"/>
    <col min="14" max="14" width="3" style="11" bestFit="1" customWidth="1"/>
    <col min="15" max="16384" width="34.5546875" style="11"/>
  </cols>
  <sheetData>
    <row r="1" spans="1:13" s="19" customFormat="1">
      <c r="A1" s="31" t="s">
        <v>101</v>
      </c>
      <c r="B1" s="18"/>
      <c r="D1" s="20"/>
      <c r="E1" s="20"/>
      <c r="F1" s="20"/>
      <c r="G1" s="20"/>
    </row>
    <row r="2" spans="1:13" ht="73.5" customHeight="1">
      <c r="A2" s="59" t="s">
        <v>75</v>
      </c>
      <c r="B2" s="60" t="s">
        <v>162</v>
      </c>
      <c r="C2" s="61" t="s">
        <v>118</v>
      </c>
      <c r="D2" s="62" t="s">
        <v>156</v>
      </c>
      <c r="E2" s="73" t="s">
        <v>9</v>
      </c>
      <c r="F2" s="73" t="s">
        <v>12</v>
      </c>
      <c r="G2" s="64" t="s">
        <v>157</v>
      </c>
      <c r="H2" s="65"/>
      <c r="I2" s="65"/>
      <c r="J2" s="66" t="s">
        <v>130</v>
      </c>
      <c r="K2" s="67" t="s">
        <v>120</v>
      </c>
      <c r="L2" s="65"/>
      <c r="M2" s="74" t="s">
        <v>178</v>
      </c>
    </row>
    <row r="3" spans="1:13">
      <c r="A3" s="58" t="s">
        <v>16</v>
      </c>
      <c r="B3" s="78" t="s">
        <v>76</v>
      </c>
      <c r="C3" s="65"/>
      <c r="D3" s="79"/>
      <c r="E3" s="79"/>
      <c r="F3" s="79"/>
      <c r="G3" s="79"/>
      <c r="I3" s="11" t="s">
        <v>16</v>
      </c>
      <c r="J3" s="119" t="s">
        <v>209</v>
      </c>
      <c r="K3" s="119" t="s">
        <v>236</v>
      </c>
      <c r="L3" s="94"/>
      <c r="M3" s="119" t="s">
        <v>237</v>
      </c>
    </row>
    <row r="4" spans="1:13" ht="27.75" customHeight="1">
      <c r="A4" s="36">
        <v>1</v>
      </c>
      <c r="B4" s="38" t="s">
        <v>102</v>
      </c>
      <c r="C4" s="95" t="s">
        <v>123</v>
      </c>
      <c r="D4" s="95" t="s">
        <v>123</v>
      </c>
      <c r="E4" s="33">
        <f>0.3*0.045</f>
        <v>1.35E-2</v>
      </c>
      <c r="F4" s="52">
        <f t="shared" ref="F4:G6" si="0">IF(C4="0 - not considered at all",0*$E4,IF(C4="1 -  planned, not implemented",1*$E4/3,IF(C4="2 - partially implemented",2*$E4/3,$E4)))</f>
        <v>8.9999999999999993E-3</v>
      </c>
      <c r="G4" s="53">
        <f t="shared" si="0"/>
        <v>8.9999999999999993E-3</v>
      </c>
      <c r="J4" s="120"/>
      <c r="K4" s="120"/>
      <c r="L4" s="97" t="s">
        <v>121</v>
      </c>
      <c r="M4" s="120"/>
    </row>
    <row r="5" spans="1:13" ht="25.5" customHeight="1">
      <c r="A5" s="36">
        <v>2</v>
      </c>
      <c r="B5" s="38" t="s">
        <v>103</v>
      </c>
      <c r="C5" s="95" t="s">
        <v>124</v>
      </c>
      <c r="D5" s="95" t="s">
        <v>124</v>
      </c>
      <c r="E5" s="33">
        <f>0.5*0.045</f>
        <v>2.2499999999999999E-2</v>
      </c>
      <c r="F5" s="52">
        <f t="shared" si="0"/>
        <v>2.2499999999999999E-2</v>
      </c>
      <c r="G5" s="53">
        <f t="shared" si="0"/>
        <v>2.2499999999999999E-2</v>
      </c>
      <c r="J5" s="120"/>
      <c r="K5" s="120"/>
      <c r="L5" s="97" t="s">
        <v>122</v>
      </c>
      <c r="M5" s="120"/>
    </row>
    <row r="6" spans="1:13" ht="26.25" customHeight="1">
      <c r="A6" s="36">
        <v>3</v>
      </c>
      <c r="B6" s="39" t="s">
        <v>104</v>
      </c>
      <c r="C6" s="95" t="s">
        <v>122</v>
      </c>
      <c r="D6" s="95" t="s">
        <v>122</v>
      </c>
      <c r="E6" s="33">
        <f>0.2*0.045</f>
        <v>8.9999999999999993E-3</v>
      </c>
      <c r="F6" s="52">
        <f t="shared" si="0"/>
        <v>2.9999999999999996E-3</v>
      </c>
      <c r="G6" s="53">
        <f t="shared" si="0"/>
        <v>2.9999999999999996E-3</v>
      </c>
      <c r="J6" s="121"/>
      <c r="K6" s="121"/>
      <c r="L6" s="97" t="s">
        <v>123</v>
      </c>
      <c r="M6" s="121"/>
    </row>
    <row r="7" spans="1:13" ht="17.25" customHeight="1">
      <c r="A7" s="36" t="s">
        <v>8</v>
      </c>
      <c r="B7" s="14"/>
      <c r="C7" s="122" t="s">
        <v>174</v>
      </c>
      <c r="D7" s="123"/>
      <c r="E7" s="72"/>
      <c r="F7" s="21">
        <f>SUM(F4:F6)</f>
        <v>3.4500000000000003E-2</v>
      </c>
      <c r="G7" s="21">
        <f>SUM(G4:G6)</f>
        <v>3.4500000000000003E-2</v>
      </c>
      <c r="H7" s="68" t="s">
        <v>194</v>
      </c>
      <c r="I7" s="92"/>
      <c r="J7" s="80"/>
      <c r="K7" s="80"/>
      <c r="L7" s="98" t="s">
        <v>124</v>
      </c>
      <c r="M7" s="80"/>
    </row>
    <row r="8" spans="1:13">
      <c r="A8" s="35" t="s">
        <v>20</v>
      </c>
      <c r="B8" s="84" t="s">
        <v>17</v>
      </c>
      <c r="C8" s="65"/>
      <c r="D8" s="79"/>
      <c r="E8" s="79"/>
      <c r="F8" s="79"/>
      <c r="G8" s="48"/>
      <c r="I8" s="11" t="s">
        <v>20</v>
      </c>
      <c r="J8" s="119" t="s">
        <v>210</v>
      </c>
      <c r="K8" s="119" t="s">
        <v>238</v>
      </c>
      <c r="L8" s="94"/>
      <c r="M8" s="119" t="s">
        <v>239</v>
      </c>
    </row>
    <row r="9" spans="1:13" ht="55.2">
      <c r="A9" s="36">
        <v>1</v>
      </c>
      <c r="B9" s="38" t="s">
        <v>105</v>
      </c>
      <c r="C9" s="95" t="s">
        <v>124</v>
      </c>
      <c r="D9" s="95" t="s">
        <v>124</v>
      </c>
      <c r="E9" s="33">
        <f>0.3*0.075</f>
        <v>2.2499999999999999E-2</v>
      </c>
      <c r="F9" s="52">
        <f t="shared" ref="F9:G12" si="1">IF(C9="0 - not considered at all",0*$E9,IF(C9="1 -  planned, not implemented",1*$E9/3,IF(C9="2 - partially implemented",2*$E9/3,$E9)))</f>
        <v>2.2499999999999999E-2</v>
      </c>
      <c r="G9" s="53">
        <f t="shared" si="1"/>
        <v>2.2499999999999999E-2</v>
      </c>
      <c r="J9" s="120"/>
      <c r="K9" s="120"/>
      <c r="L9" s="94"/>
      <c r="M9" s="120"/>
    </row>
    <row r="10" spans="1:13" ht="27.6">
      <c r="A10" s="36">
        <v>2</v>
      </c>
      <c r="B10" s="38" t="s">
        <v>106</v>
      </c>
      <c r="C10" s="95" t="s">
        <v>123</v>
      </c>
      <c r="D10" s="95" t="s">
        <v>123</v>
      </c>
      <c r="E10" s="33">
        <f>0.4*0.075</f>
        <v>0.03</v>
      </c>
      <c r="F10" s="52">
        <f t="shared" si="1"/>
        <v>0.02</v>
      </c>
      <c r="G10" s="53">
        <f t="shared" si="1"/>
        <v>0.02</v>
      </c>
      <c r="J10" s="120"/>
      <c r="K10" s="120"/>
      <c r="L10" s="94"/>
      <c r="M10" s="120"/>
    </row>
    <row r="11" spans="1:13" ht="39" customHeight="1">
      <c r="A11" s="36">
        <v>3</v>
      </c>
      <c r="B11" s="39" t="s">
        <v>107</v>
      </c>
      <c r="C11" s="95" t="s">
        <v>122</v>
      </c>
      <c r="D11" s="95" t="s">
        <v>122</v>
      </c>
      <c r="E11" s="33">
        <f>0.2*0.075</f>
        <v>1.4999999999999999E-2</v>
      </c>
      <c r="F11" s="52">
        <f t="shared" si="1"/>
        <v>5.0000000000000001E-3</v>
      </c>
      <c r="G11" s="53">
        <f t="shared" si="1"/>
        <v>5.0000000000000001E-3</v>
      </c>
      <c r="J11" s="120"/>
      <c r="K11" s="120"/>
      <c r="L11" s="94"/>
      <c r="M11" s="120"/>
    </row>
    <row r="12" spans="1:13" ht="27.6">
      <c r="A12" s="36">
        <v>4</v>
      </c>
      <c r="B12" s="39" t="s">
        <v>127</v>
      </c>
      <c r="C12" s="95" t="s">
        <v>123</v>
      </c>
      <c r="D12" s="95" t="s">
        <v>123</v>
      </c>
      <c r="E12" s="33">
        <f>0.1*0.075</f>
        <v>7.4999999999999997E-3</v>
      </c>
      <c r="F12" s="52">
        <f t="shared" si="1"/>
        <v>5.0000000000000001E-3</v>
      </c>
      <c r="G12" s="53">
        <f t="shared" si="1"/>
        <v>5.0000000000000001E-3</v>
      </c>
      <c r="J12" s="121"/>
      <c r="K12" s="121"/>
      <c r="L12" s="94"/>
      <c r="M12" s="121"/>
    </row>
    <row r="13" spans="1:13">
      <c r="A13" s="36" t="s">
        <v>8</v>
      </c>
      <c r="B13" s="14"/>
      <c r="C13" s="122" t="s">
        <v>175</v>
      </c>
      <c r="D13" s="123"/>
      <c r="E13" s="72"/>
      <c r="F13" s="21">
        <f>SUM(F9:F12)</f>
        <v>5.2499999999999991E-2</v>
      </c>
      <c r="G13" s="21">
        <f>SUM(G9:G12)</f>
        <v>5.2499999999999991E-2</v>
      </c>
      <c r="H13" s="68" t="s">
        <v>195</v>
      </c>
      <c r="I13" s="92"/>
      <c r="J13" s="80"/>
      <c r="K13" s="80"/>
      <c r="L13" s="80"/>
      <c r="M13" s="80"/>
    </row>
    <row r="14" spans="1:13" ht="28.8">
      <c r="A14" s="35" t="s">
        <v>21</v>
      </c>
      <c r="B14" s="84" t="s">
        <v>108</v>
      </c>
      <c r="C14" s="65"/>
      <c r="D14" s="79"/>
      <c r="E14" s="79"/>
      <c r="F14" s="79"/>
      <c r="G14" s="48"/>
      <c r="I14" s="11" t="s">
        <v>21</v>
      </c>
      <c r="J14" s="119" t="s">
        <v>211</v>
      </c>
      <c r="K14" s="119" t="s">
        <v>240</v>
      </c>
      <c r="L14" s="94"/>
      <c r="M14" s="119" t="s">
        <v>241</v>
      </c>
    </row>
    <row r="15" spans="1:13" ht="42" customHeight="1">
      <c r="A15" s="36">
        <v>1</v>
      </c>
      <c r="B15" s="38" t="s">
        <v>109</v>
      </c>
      <c r="C15" s="95" t="s">
        <v>123</v>
      </c>
      <c r="D15" s="95" t="s">
        <v>123</v>
      </c>
      <c r="E15" s="33">
        <f>0.4*0.06</f>
        <v>2.4E-2</v>
      </c>
      <c r="F15" s="52">
        <f t="shared" ref="F15:G17" si="2">IF(C15="0 - not considered at all",0*$E15,IF(C15="1 -  planned, not implemented",1*$E15/3,IF(C15="2 - partially implemented",2*$E15/3,$E15)))</f>
        <v>1.6E-2</v>
      </c>
      <c r="G15" s="53">
        <f t="shared" si="2"/>
        <v>1.6E-2</v>
      </c>
      <c r="J15" s="120"/>
      <c r="K15" s="120"/>
      <c r="L15" s="94"/>
      <c r="M15" s="120"/>
    </row>
    <row r="16" spans="1:13" ht="28.5" customHeight="1">
      <c r="A16" s="36">
        <v>2</v>
      </c>
      <c r="B16" s="38" t="s">
        <v>18</v>
      </c>
      <c r="C16" s="95" t="s">
        <v>122</v>
      </c>
      <c r="D16" s="95" t="s">
        <v>122</v>
      </c>
      <c r="E16" s="33">
        <f>0.25*0.06</f>
        <v>1.4999999999999999E-2</v>
      </c>
      <c r="F16" s="52">
        <f t="shared" si="2"/>
        <v>5.0000000000000001E-3</v>
      </c>
      <c r="G16" s="53">
        <f t="shared" si="2"/>
        <v>5.0000000000000001E-3</v>
      </c>
      <c r="J16" s="120"/>
      <c r="K16" s="120"/>
      <c r="L16" s="94"/>
      <c r="M16" s="120"/>
    </row>
    <row r="17" spans="1:13" ht="55.2">
      <c r="A17" s="36">
        <v>3</v>
      </c>
      <c r="B17" s="38" t="s">
        <v>128</v>
      </c>
      <c r="C17" s="95" t="s">
        <v>121</v>
      </c>
      <c r="D17" s="95" t="s">
        <v>121</v>
      </c>
      <c r="E17" s="33">
        <f>0.35*0.06</f>
        <v>2.0999999999999998E-2</v>
      </c>
      <c r="F17" s="52">
        <f t="shared" si="2"/>
        <v>0</v>
      </c>
      <c r="G17" s="53">
        <f t="shared" si="2"/>
        <v>0</v>
      </c>
      <c r="J17" s="121"/>
      <c r="K17" s="121"/>
      <c r="L17" s="94"/>
      <c r="M17" s="121"/>
    </row>
    <row r="18" spans="1:13">
      <c r="A18" s="36" t="s">
        <v>8</v>
      </c>
      <c r="B18" s="14"/>
      <c r="C18" s="122" t="s">
        <v>176</v>
      </c>
      <c r="D18" s="123"/>
      <c r="E18" s="72"/>
      <c r="F18" s="21">
        <f>SUM(F15:F17)</f>
        <v>2.1000000000000001E-2</v>
      </c>
      <c r="G18" s="21">
        <f>SUM(G15:G17)</f>
        <v>2.1000000000000001E-2</v>
      </c>
      <c r="H18" s="68" t="s">
        <v>196</v>
      </c>
      <c r="I18" s="70"/>
      <c r="J18" s="80"/>
      <c r="K18" s="80"/>
      <c r="L18" s="80"/>
      <c r="M18" s="80"/>
    </row>
    <row r="19" spans="1:13" ht="26.4">
      <c r="A19" s="35" t="s">
        <v>22</v>
      </c>
      <c r="B19" s="40" t="s">
        <v>19</v>
      </c>
      <c r="C19" s="36"/>
      <c r="D19" s="13"/>
      <c r="E19" s="13"/>
      <c r="F19" s="13"/>
      <c r="G19" s="48"/>
      <c r="I19" s="11" t="s">
        <v>22</v>
      </c>
      <c r="J19" s="119" t="s">
        <v>212</v>
      </c>
      <c r="K19" s="127" t="s">
        <v>242</v>
      </c>
      <c r="L19" s="99"/>
      <c r="M19" s="127" t="s">
        <v>243</v>
      </c>
    </row>
    <row r="20" spans="1:13" ht="55.2">
      <c r="A20" s="36">
        <v>1</v>
      </c>
      <c r="B20" s="38" t="s">
        <v>110</v>
      </c>
      <c r="C20" s="95" t="s">
        <v>123</v>
      </c>
      <c r="D20" s="95" t="s">
        <v>123</v>
      </c>
      <c r="E20" s="33">
        <f>0.5*0.06</f>
        <v>0.03</v>
      </c>
      <c r="F20" s="52">
        <f>IF(C20="0 - not considered at all",0*$E20,IF(C20="1 -  planned, not implemented",1*$E20/3,IF(C20="2 - partially implemented",2*$E20/3,$E20)))</f>
        <v>0.02</v>
      </c>
      <c r="G20" s="53">
        <f>IF(D20="0 - not considered at all",0*$E20,IF(D20="1 -  planned, not implemented",1*$E20/3,IF(D20="2 - partially implemented",2*$E20/3,$E20)))</f>
        <v>0.02</v>
      </c>
      <c r="J20" s="120"/>
      <c r="K20" s="127"/>
      <c r="L20" s="99"/>
      <c r="M20" s="127"/>
    </row>
    <row r="21" spans="1:13" ht="27.6">
      <c r="A21" s="36">
        <v>2</v>
      </c>
      <c r="B21" s="38" t="s">
        <v>129</v>
      </c>
      <c r="C21" s="95" t="s">
        <v>123</v>
      </c>
      <c r="D21" s="95" t="s">
        <v>123</v>
      </c>
      <c r="E21" s="33">
        <f>0.5*0.06</f>
        <v>0.03</v>
      </c>
      <c r="F21" s="52">
        <f>IF(C21="0 - not considered at all",0*$E21,IF(C21="1 -  planned, not implemented",1*$E21/3,IF(C21="2 - partially implemented",2*$E21/3,$E21)))</f>
        <v>0.02</v>
      </c>
      <c r="G21" s="53">
        <f>IF(D21="0 - not considered at all",0*$E21,IF(D21="1 -  planned, not implemented",1*$E21/3,IF(D21="2 - partially implemented",2*$E21/3,$E21)))</f>
        <v>0.02</v>
      </c>
      <c r="J21" s="121"/>
      <c r="K21" s="127"/>
      <c r="L21" s="99"/>
      <c r="M21" s="127"/>
    </row>
    <row r="22" spans="1:13">
      <c r="A22" s="36" t="s">
        <v>8</v>
      </c>
      <c r="B22" s="14"/>
      <c r="C22" s="122" t="s">
        <v>184</v>
      </c>
      <c r="D22" s="123"/>
      <c r="E22" s="124"/>
      <c r="F22" s="21">
        <f>SUM(F20:F21)</f>
        <v>0.04</v>
      </c>
      <c r="G22" s="21">
        <f>SUM(G19:G21)</f>
        <v>0.04</v>
      </c>
      <c r="H22" s="68" t="s">
        <v>196</v>
      </c>
      <c r="I22" s="70"/>
      <c r="J22" s="80"/>
      <c r="K22" s="80"/>
      <c r="L22" s="80"/>
      <c r="M22" s="80"/>
    </row>
    <row r="23" spans="1:13">
      <c r="A23" s="35" t="s">
        <v>23</v>
      </c>
      <c r="B23" s="90" t="s">
        <v>77</v>
      </c>
      <c r="C23" s="65"/>
      <c r="D23" s="79"/>
      <c r="E23" s="79"/>
      <c r="F23" s="79"/>
      <c r="G23" s="79"/>
      <c r="I23" s="11" t="s">
        <v>23</v>
      </c>
      <c r="J23" s="127" t="s">
        <v>213</v>
      </c>
      <c r="K23" s="127" t="s">
        <v>244</v>
      </c>
      <c r="L23" s="99"/>
      <c r="M23" s="127" t="s">
        <v>245</v>
      </c>
    </row>
    <row r="24" spans="1:13" ht="27.6">
      <c r="A24" s="36">
        <v>1</v>
      </c>
      <c r="B24" s="38" t="s">
        <v>24</v>
      </c>
      <c r="C24" s="95" t="s">
        <v>122</v>
      </c>
      <c r="D24" s="95" t="s">
        <v>122</v>
      </c>
      <c r="E24" s="33">
        <f>0.6*0.03</f>
        <v>1.7999999999999999E-2</v>
      </c>
      <c r="F24" s="52">
        <f>IF(C24="0 - not considered at all",0*$E24,IF(C24="1 -  planned, not implemented",1*$E24/3,IF(C24="2 - partially implemented",2*$E24/3,$E24)))</f>
        <v>5.9999999999999993E-3</v>
      </c>
      <c r="G24" s="53">
        <f>IF(D24="0 - not considered at all",0*$E24,IF(D24="1 -  planned, not implemented",1*$E24/3,IF(D24="2 - partially implemented",2*$E24/3,$E24)))</f>
        <v>5.9999999999999993E-3</v>
      </c>
      <c r="J24" s="127"/>
      <c r="K24" s="127"/>
      <c r="L24" s="99"/>
      <c r="M24" s="127"/>
    </row>
    <row r="25" spans="1:13" ht="27.6">
      <c r="A25" s="36">
        <v>2</v>
      </c>
      <c r="B25" s="38" t="s">
        <v>111</v>
      </c>
      <c r="C25" s="95" t="s">
        <v>122</v>
      </c>
      <c r="D25" s="95" t="s">
        <v>122</v>
      </c>
      <c r="E25" s="33">
        <f>0.4*0.03</f>
        <v>1.2E-2</v>
      </c>
      <c r="F25" s="52">
        <f>IF(C25="0 - not considered at all",0*$E25,IF(C25="1 -  planned, not implemented",1*$E25/3,IF(C25="2 - partially implemented",2*$E25/3,$E25)))</f>
        <v>4.0000000000000001E-3</v>
      </c>
      <c r="G25" s="53">
        <f>IF(D25="0 - not considered at all",0*$E25,IF(D25="1 -  planned, not implemented",1*$E25/3,IF(D25="2 - partially implemented",2*$E25/3,$E25)))</f>
        <v>4.0000000000000001E-3</v>
      </c>
      <c r="J25" s="127"/>
      <c r="K25" s="127"/>
      <c r="L25" s="99"/>
      <c r="M25" s="127"/>
    </row>
    <row r="26" spans="1:13">
      <c r="A26" s="36" t="s">
        <v>8</v>
      </c>
      <c r="B26" s="14"/>
      <c r="C26" s="122" t="s">
        <v>185</v>
      </c>
      <c r="D26" s="123"/>
      <c r="E26" s="124"/>
      <c r="F26" s="21">
        <f>SUM(F24:F25)</f>
        <v>9.9999999999999985E-3</v>
      </c>
      <c r="G26" s="21">
        <f>SUM(G23:G25)</f>
        <v>9.9999999999999985E-3</v>
      </c>
      <c r="H26" s="68" t="s">
        <v>197</v>
      </c>
      <c r="I26" s="70"/>
      <c r="J26" s="100"/>
      <c r="K26" s="100"/>
      <c r="L26" s="100"/>
      <c r="M26" s="100"/>
    </row>
    <row r="27" spans="1:13" ht="28.8">
      <c r="A27" s="35" t="s">
        <v>25</v>
      </c>
      <c r="B27" s="84" t="s">
        <v>78</v>
      </c>
      <c r="C27" s="65"/>
      <c r="D27" s="79"/>
      <c r="E27" s="79"/>
      <c r="F27" s="79"/>
      <c r="G27" s="79"/>
      <c r="I27" s="11" t="s">
        <v>25</v>
      </c>
      <c r="J27" s="127" t="s">
        <v>214</v>
      </c>
      <c r="K27" s="127" t="s">
        <v>246</v>
      </c>
      <c r="L27" s="99"/>
      <c r="M27" s="127" t="s">
        <v>247</v>
      </c>
    </row>
    <row r="28" spans="1:13" ht="32.25" customHeight="1">
      <c r="A28" s="36">
        <v>1</v>
      </c>
      <c r="B28" s="38" t="s">
        <v>112</v>
      </c>
      <c r="C28" s="95" t="s">
        <v>121</v>
      </c>
      <c r="D28" s="95" t="s">
        <v>121</v>
      </c>
      <c r="E28" s="33">
        <f>0.5*0.03</f>
        <v>1.4999999999999999E-2</v>
      </c>
      <c r="F28" s="52">
        <f>IF(C28="0 - not considered at all",0*$E28,IF(C28="1 -  planned, not implemented",1*$E28/3,IF(C28="2 - partially implemented",2*$E28/3,$E28)))</f>
        <v>0</v>
      </c>
      <c r="G28" s="53">
        <f>IF(D28="0 - not considered at all",0*$E28,IF(D28="1 -  planned, not implemented",1*$E28/3,IF(D28="2 - partially implemented",2*$E28/3,$E28)))</f>
        <v>0</v>
      </c>
      <c r="J28" s="127"/>
      <c r="K28" s="127"/>
      <c r="L28" s="99"/>
      <c r="M28" s="127"/>
    </row>
    <row r="29" spans="1:13" ht="69">
      <c r="A29" s="36">
        <v>2</v>
      </c>
      <c r="B29" s="38" t="s">
        <v>113</v>
      </c>
      <c r="C29" s="95" t="s">
        <v>123</v>
      </c>
      <c r="D29" s="95" t="s">
        <v>123</v>
      </c>
      <c r="E29" s="33">
        <f>0.5*0.03</f>
        <v>1.4999999999999999E-2</v>
      </c>
      <c r="F29" s="52">
        <f>IF(C29="0 - not considered at all",0*$E29,IF(C29="1 -  planned, not implemented",1*$E29/3,IF(C29="2 - partially implemented",2*$E29/3,$E29)))</f>
        <v>0.01</v>
      </c>
      <c r="G29" s="53">
        <f>IF(D29="0 - not considered at all",0*$E29,IF(D29="1 -  planned, not implemented",1*$E29/3,IF(D29="2 - partially implemented",2*$E29/3,$E29)))</f>
        <v>0.01</v>
      </c>
      <c r="J29" s="127"/>
      <c r="K29" s="127"/>
      <c r="L29" s="99"/>
      <c r="M29" s="127"/>
    </row>
    <row r="30" spans="1:13" ht="15" thickBot="1">
      <c r="A30" s="36" t="s">
        <v>8</v>
      </c>
      <c r="B30" s="14"/>
      <c r="C30" s="122" t="s">
        <v>186</v>
      </c>
      <c r="D30" s="123"/>
      <c r="E30" s="124"/>
      <c r="F30" s="21">
        <f>SUM(F28:F29)</f>
        <v>0.01</v>
      </c>
      <c r="G30" s="21">
        <f>SUM(G27:G29)</f>
        <v>0.01</v>
      </c>
      <c r="H30" s="68" t="s">
        <v>197</v>
      </c>
      <c r="I30" s="70"/>
    </row>
    <row r="31" spans="1:13" ht="15" thickBot="1">
      <c r="C31" s="125" t="s">
        <v>177</v>
      </c>
      <c r="D31" s="125"/>
      <c r="F31" s="45">
        <f>SUM(F7,F13,F18,F22,F26,F30)</f>
        <v>0.16800000000000001</v>
      </c>
      <c r="G31" s="45">
        <f>SUM(G7,G13,G18,G22,G26,G30)</f>
        <v>0.16800000000000001</v>
      </c>
    </row>
    <row r="32" spans="1:13">
      <c r="C32" s="126" t="s">
        <v>183</v>
      </c>
      <c r="D32" s="126"/>
      <c r="F32" s="48">
        <v>30</v>
      </c>
      <c r="G32" s="48">
        <v>30</v>
      </c>
    </row>
    <row r="33" spans="1:12">
      <c r="D33" s="16"/>
      <c r="E33" s="16"/>
      <c r="G33" s="42"/>
    </row>
    <row r="34" spans="1:12" customFormat="1" ht="32.25" customHeight="1">
      <c r="A34" s="102" t="s">
        <v>153</v>
      </c>
      <c r="B34" s="102"/>
      <c r="C34" s="46"/>
      <c r="D34" s="103" t="s">
        <v>154</v>
      </c>
      <c r="E34" s="103"/>
      <c r="F34" s="103"/>
      <c r="G34" s="103"/>
      <c r="H34" s="103"/>
      <c r="I34" s="103"/>
      <c r="J34" s="103"/>
      <c r="K34" s="47"/>
      <c r="L34" s="47"/>
    </row>
  </sheetData>
  <sheetProtection password="C7FA" sheet="1" objects="1" scenarios="1" formatRows="0"/>
  <mergeCells count="28">
    <mergeCell ref="A34:B34"/>
    <mergeCell ref="D34:J34"/>
    <mergeCell ref="C30:E30"/>
    <mergeCell ref="C32:D32"/>
    <mergeCell ref="C31:D31"/>
    <mergeCell ref="C26:E26"/>
    <mergeCell ref="J23:J25"/>
    <mergeCell ref="K14:K17"/>
    <mergeCell ref="M23:M25"/>
    <mergeCell ref="J19:J21"/>
    <mergeCell ref="K19:K21"/>
    <mergeCell ref="K23:K25"/>
    <mergeCell ref="C7:D7"/>
    <mergeCell ref="C13:D13"/>
    <mergeCell ref="C18:D18"/>
    <mergeCell ref="J14:J17"/>
    <mergeCell ref="C22:E22"/>
    <mergeCell ref="J3:J6"/>
    <mergeCell ref="K3:K6"/>
    <mergeCell ref="J8:J12"/>
    <mergeCell ref="K8:K12"/>
    <mergeCell ref="M3:M6"/>
    <mergeCell ref="M8:M12"/>
    <mergeCell ref="M27:M29"/>
    <mergeCell ref="J27:J29"/>
    <mergeCell ref="K27:K29"/>
    <mergeCell ref="M14:M17"/>
    <mergeCell ref="M19:M21"/>
  </mergeCells>
  <phoneticPr fontId="7" type="noConversion"/>
  <dataValidations count="1">
    <dataValidation type="list" allowBlank="1" showInputMessage="1" showErrorMessage="1" sqref="C24:D25 C28:D29 C4:D6 C9:D12 C15:D17 C20:D21">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issue&amp;CThis product is released under Creative Common licence  
CC BY-NC-ND 3.0&amp;R&amp;G</oddFooter>
  </headerFooter>
  <rowBreaks count="1" manualBreakCount="1">
    <brk id="18" max="16383" man="1"/>
  </rowBreaks>
  <colBreaks count="1" manualBreakCount="1">
    <brk id="8"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dimension ref="A1:M39"/>
  <sheetViews>
    <sheetView zoomScaleNormal="100" workbookViewId="0">
      <selection activeCell="M1" sqref="M1:M1048576"/>
    </sheetView>
  </sheetViews>
  <sheetFormatPr defaultColWidth="34.5546875" defaultRowHeight="14.4"/>
  <cols>
    <col min="1" max="1" width="4.44140625" style="11" customWidth="1"/>
    <col min="2" max="2" width="36.33203125" style="10" customWidth="1"/>
    <col min="3" max="3" width="17.6640625" style="11" customWidth="1"/>
    <col min="4" max="4" width="18.33203125" style="12" hidden="1" customWidth="1"/>
    <col min="5" max="5" width="0.109375" style="12" customWidth="1"/>
    <col min="6" max="6" width="7.88671875" style="12" customWidth="1"/>
    <col min="7" max="7" width="8.5546875" style="12" hidden="1" customWidth="1"/>
    <col min="8" max="8" width="6.109375" style="11" customWidth="1"/>
    <col min="9" max="9" width="3.5546875" style="11" customWidth="1"/>
    <col min="10" max="10" width="35" style="11" customWidth="1"/>
    <col min="11" max="11" width="35.33203125" style="11" customWidth="1"/>
    <col min="12" max="12" width="0.109375" style="11" customWidth="1"/>
    <col min="13" max="13" width="35.33203125" style="11" hidden="1" customWidth="1"/>
    <col min="14" max="14" width="3" style="11" bestFit="1" customWidth="1"/>
    <col min="15" max="16384" width="34.5546875" style="11"/>
  </cols>
  <sheetData>
    <row r="1" spans="1:13" s="19" customFormat="1">
      <c r="A1" s="31" t="s">
        <v>126</v>
      </c>
      <c r="B1" s="18"/>
      <c r="D1" s="20"/>
      <c r="E1" s="20"/>
      <c r="F1" s="20"/>
      <c r="G1" s="20"/>
    </row>
    <row r="2" spans="1:13" ht="60.75" customHeight="1">
      <c r="A2" s="59" t="s">
        <v>75</v>
      </c>
      <c r="B2" s="60" t="s">
        <v>162</v>
      </c>
      <c r="C2" s="61" t="s">
        <v>118</v>
      </c>
      <c r="D2" s="62" t="s">
        <v>156</v>
      </c>
      <c r="E2" s="73" t="s">
        <v>9</v>
      </c>
      <c r="F2" s="73" t="s">
        <v>12</v>
      </c>
      <c r="G2" s="64" t="s">
        <v>157</v>
      </c>
      <c r="H2" s="65"/>
      <c r="I2" s="65"/>
      <c r="J2" s="66" t="s">
        <v>164</v>
      </c>
      <c r="K2" s="67" t="s">
        <v>165</v>
      </c>
      <c r="L2" s="65"/>
      <c r="M2" s="74" t="s">
        <v>178</v>
      </c>
    </row>
    <row r="3" spans="1:13">
      <c r="A3" s="86" t="s">
        <v>26</v>
      </c>
      <c r="B3" s="87" t="s">
        <v>27</v>
      </c>
      <c r="C3" s="65"/>
      <c r="D3" s="79"/>
      <c r="E3" s="79"/>
      <c r="F3" s="79"/>
      <c r="G3" s="79"/>
      <c r="I3" s="11" t="s">
        <v>26</v>
      </c>
      <c r="J3" s="127" t="s">
        <v>215</v>
      </c>
      <c r="K3" s="127" t="s">
        <v>248</v>
      </c>
      <c r="L3" s="99"/>
      <c r="M3" s="127" t="s">
        <v>248</v>
      </c>
    </row>
    <row r="4" spans="1:13" ht="25.5" customHeight="1">
      <c r="A4" s="36">
        <v>1</v>
      </c>
      <c r="B4" s="54" t="s">
        <v>131</v>
      </c>
      <c r="C4" s="95" t="s">
        <v>124</v>
      </c>
      <c r="D4" s="95" t="s">
        <v>124</v>
      </c>
      <c r="E4" s="33">
        <f>0.2*0.04</f>
        <v>8.0000000000000002E-3</v>
      </c>
      <c r="F4" s="52">
        <f t="shared" ref="F4:G8" si="0">IF(C4="0 - not considered at all",0*$E4,IF(C4="1 -  planned, not implemented",$E4/3,IF(C4="2 - partially implemented",2*$E4/3,$E4)))</f>
        <v>8.0000000000000002E-3</v>
      </c>
      <c r="G4" s="53">
        <f t="shared" si="0"/>
        <v>8.0000000000000002E-3</v>
      </c>
      <c r="J4" s="127"/>
      <c r="K4" s="127"/>
      <c r="L4" s="97" t="s">
        <v>121</v>
      </c>
      <c r="M4" s="127"/>
    </row>
    <row r="5" spans="1:13" ht="27" customHeight="1">
      <c r="A5" s="36">
        <v>2</v>
      </c>
      <c r="B5" s="54" t="s">
        <v>132</v>
      </c>
      <c r="C5" s="95" t="s">
        <v>122</v>
      </c>
      <c r="D5" s="95" t="s">
        <v>122</v>
      </c>
      <c r="E5" s="33">
        <f>0.3*0.04</f>
        <v>1.2E-2</v>
      </c>
      <c r="F5" s="52">
        <f t="shared" si="0"/>
        <v>4.0000000000000001E-3</v>
      </c>
      <c r="G5" s="53">
        <f t="shared" si="0"/>
        <v>4.0000000000000001E-3</v>
      </c>
      <c r="J5" s="127"/>
      <c r="K5" s="127"/>
      <c r="L5" s="97" t="s">
        <v>122</v>
      </c>
      <c r="M5" s="127"/>
    </row>
    <row r="6" spans="1:13" ht="27" customHeight="1">
      <c r="A6" s="36">
        <v>3</v>
      </c>
      <c r="B6" s="54" t="s">
        <v>133</v>
      </c>
      <c r="C6" s="95" t="s">
        <v>124</v>
      </c>
      <c r="D6" s="95" t="s">
        <v>124</v>
      </c>
      <c r="E6" s="33">
        <f>0.2*0.04</f>
        <v>8.0000000000000002E-3</v>
      </c>
      <c r="F6" s="52">
        <f t="shared" si="0"/>
        <v>8.0000000000000002E-3</v>
      </c>
      <c r="G6" s="53">
        <f t="shared" si="0"/>
        <v>8.0000000000000002E-3</v>
      </c>
      <c r="J6" s="127"/>
      <c r="K6" s="127"/>
      <c r="L6" s="97" t="s">
        <v>123</v>
      </c>
      <c r="M6" s="127"/>
    </row>
    <row r="7" spans="1:13" ht="31.5" customHeight="1">
      <c r="A7" s="36">
        <v>4</v>
      </c>
      <c r="B7" s="54" t="s">
        <v>134</v>
      </c>
      <c r="C7" s="95" t="s">
        <v>124</v>
      </c>
      <c r="D7" s="95" t="s">
        <v>123</v>
      </c>
      <c r="E7" s="33">
        <f>0.1*0.04</f>
        <v>4.0000000000000001E-3</v>
      </c>
      <c r="F7" s="52">
        <f t="shared" si="0"/>
        <v>4.0000000000000001E-3</v>
      </c>
      <c r="G7" s="53">
        <f t="shared" si="0"/>
        <v>2.6666666666666666E-3</v>
      </c>
      <c r="J7" s="127"/>
      <c r="K7" s="127"/>
      <c r="L7" s="97" t="s">
        <v>124</v>
      </c>
      <c r="M7" s="127"/>
    </row>
    <row r="8" spans="1:13" ht="27.75" customHeight="1">
      <c r="A8" s="36">
        <v>5</v>
      </c>
      <c r="B8" s="55" t="s">
        <v>135</v>
      </c>
      <c r="C8" s="95" t="s">
        <v>124</v>
      </c>
      <c r="D8" s="95" t="s">
        <v>124</v>
      </c>
      <c r="E8" s="33">
        <f>0.2*0.04</f>
        <v>8.0000000000000002E-3</v>
      </c>
      <c r="F8" s="52">
        <f t="shared" si="0"/>
        <v>8.0000000000000002E-3</v>
      </c>
      <c r="G8" s="53">
        <f t="shared" si="0"/>
        <v>8.0000000000000002E-3</v>
      </c>
      <c r="J8" s="127"/>
      <c r="K8" s="127"/>
      <c r="L8" s="99"/>
      <c r="M8" s="127"/>
    </row>
    <row r="9" spans="1:13" ht="17.25" customHeight="1">
      <c r="A9" s="36" t="s">
        <v>8</v>
      </c>
      <c r="B9" s="14"/>
      <c r="C9" s="122" t="s">
        <v>159</v>
      </c>
      <c r="D9" s="124"/>
      <c r="E9" s="56">
        <f>SUM(E3:E8)</f>
        <v>0.04</v>
      </c>
      <c r="F9" s="77">
        <f>SUM(F4:F8)</f>
        <v>3.2000000000000001E-2</v>
      </c>
      <c r="G9" s="77">
        <f>SUM(G4:G8)</f>
        <v>3.0666666666666668E-2</v>
      </c>
      <c r="H9" s="15" t="s">
        <v>198</v>
      </c>
      <c r="I9" s="15"/>
      <c r="J9" s="80"/>
      <c r="K9" s="80"/>
      <c r="L9" s="80"/>
      <c r="M9" s="80"/>
    </row>
    <row r="10" spans="1:13" ht="33" customHeight="1">
      <c r="A10" s="85" t="s">
        <v>28</v>
      </c>
      <c r="B10" s="87" t="s">
        <v>29</v>
      </c>
      <c r="C10" s="65"/>
      <c r="D10" s="79"/>
      <c r="E10" s="79"/>
      <c r="F10" s="79"/>
      <c r="G10" s="79"/>
      <c r="H10" s="75"/>
      <c r="I10" s="75" t="s">
        <v>28</v>
      </c>
      <c r="J10" s="127" t="s">
        <v>216</v>
      </c>
      <c r="K10" s="127" t="s">
        <v>249</v>
      </c>
      <c r="L10" s="99"/>
      <c r="M10" s="128" t="s">
        <v>250</v>
      </c>
    </row>
    <row r="11" spans="1:13" ht="27.6">
      <c r="A11" s="36">
        <v>1</v>
      </c>
      <c r="B11" s="38" t="s">
        <v>30</v>
      </c>
      <c r="C11" s="95" t="s">
        <v>124</v>
      </c>
      <c r="D11" s="95" t="s">
        <v>124</v>
      </c>
      <c r="E11" s="33">
        <f>0.2*4/100</f>
        <v>8.0000000000000002E-3</v>
      </c>
      <c r="F11" s="52">
        <f>IF(C11="0 - not considered at all",0*$E11,IF(C11="1 -  planned, not implemented",1*$E11/3,IF(C11="2 - partially implemented",2*$E11/3,$E11)))</f>
        <v>8.0000000000000002E-3</v>
      </c>
      <c r="G11" s="53">
        <f>IF(D11="0 - not considered at all",0*$E11,IF(D11="1 -  planned, not implemented",$E11/3,IF(D11="2 - partially implemented",2*$E11/3,$E11)))</f>
        <v>8.0000000000000002E-3</v>
      </c>
      <c r="J11" s="127"/>
      <c r="K11" s="127"/>
      <c r="L11" s="99"/>
      <c r="M11" s="128"/>
    </row>
    <row r="12" spans="1:13" ht="27.6">
      <c r="A12" s="36">
        <v>2</v>
      </c>
      <c r="B12" s="38" t="s">
        <v>31</v>
      </c>
      <c r="C12" s="95" t="s">
        <v>124</v>
      </c>
      <c r="D12" s="95" t="s">
        <v>124</v>
      </c>
      <c r="E12" s="33">
        <f>0.2*4/100</f>
        <v>8.0000000000000002E-3</v>
      </c>
      <c r="F12" s="52">
        <f>IF(C12="0 - not considered at all",0*$E12,IF(C12="1 -  planned, not implemented",1*$E12/3,IF(C12="2 - partially implemented",2*$E12/3,$E12)))</f>
        <v>8.0000000000000002E-3</v>
      </c>
      <c r="G12" s="53">
        <f>IF(D12="0 - not considered at all",0*$E12,IF(D12="1 -  planned, not implemented",$E12/3,IF(D12="2 - partially implemented",2*$E12/3,$E12)))</f>
        <v>8.0000000000000002E-3</v>
      </c>
      <c r="J12" s="127"/>
      <c r="K12" s="127"/>
      <c r="L12" s="99"/>
      <c r="M12" s="128"/>
    </row>
    <row r="13" spans="1:13" ht="27.6">
      <c r="A13" s="36">
        <v>3</v>
      </c>
      <c r="B13" s="38" t="s">
        <v>69</v>
      </c>
      <c r="C13" s="95" t="s">
        <v>124</v>
      </c>
      <c r="D13" s="95" t="s">
        <v>123</v>
      </c>
      <c r="E13" s="33">
        <f>0.3*4/100</f>
        <v>1.2E-2</v>
      </c>
      <c r="F13" s="52">
        <f>IF(C13="0 - not considered at all",0*$E13,IF(C13="1 -  planned, not implemented",1*$E13/3,IF(C13="2 - partially implemented",2*$E13/3,$E13)))</f>
        <v>1.2E-2</v>
      </c>
      <c r="G13" s="53">
        <f>IF(D13="0 - not considered at all",0*$E13,IF(D13="1 -  planned, not implemented",$E13/3,IF(D13="2 - partially implemented",2*$E13/3,$E13)))</f>
        <v>8.0000000000000002E-3</v>
      </c>
      <c r="J13" s="127"/>
      <c r="K13" s="127"/>
      <c r="L13" s="99"/>
      <c r="M13" s="128"/>
    </row>
    <row r="14" spans="1:13" ht="27.6">
      <c r="A14" s="36">
        <v>4</v>
      </c>
      <c r="B14" s="38" t="s">
        <v>70</v>
      </c>
      <c r="C14" s="95" t="s">
        <v>124</v>
      </c>
      <c r="D14" s="95" t="s">
        <v>123</v>
      </c>
      <c r="E14" s="33">
        <f>0.3*4/100</f>
        <v>1.2E-2</v>
      </c>
      <c r="F14" s="52">
        <f>IF(C14="0 - not considered at all",0*$E14,IF(C14="1 -  planned, not implemented",1*$E14/3,IF(C14="2 - partially implemented",2*$E14/3,$E14)))</f>
        <v>1.2E-2</v>
      </c>
      <c r="G14" s="53">
        <f>IF(D14="0 - not considered at all",0*$E14,IF(D14="1 -  planned, not implemented",$E14/3,IF(D14="2 - partially implemented",2*$E14/3,$E14)))</f>
        <v>8.0000000000000002E-3</v>
      </c>
      <c r="J14" s="127"/>
      <c r="K14" s="127"/>
      <c r="L14" s="99"/>
      <c r="M14" s="128"/>
    </row>
    <row r="15" spans="1:13">
      <c r="A15" s="36" t="s">
        <v>8</v>
      </c>
      <c r="B15" s="14"/>
      <c r="C15" s="122" t="s">
        <v>160</v>
      </c>
      <c r="D15" s="124"/>
      <c r="E15" s="35"/>
      <c r="F15" s="77">
        <f>SUM(F11:F14)</f>
        <v>0.04</v>
      </c>
      <c r="G15" s="77">
        <f>SUM(G11:G14)</f>
        <v>3.2000000000000001E-2</v>
      </c>
      <c r="H15" s="15" t="s">
        <v>198</v>
      </c>
      <c r="I15" s="15"/>
      <c r="J15" s="80"/>
      <c r="K15" s="80"/>
      <c r="L15" s="80"/>
      <c r="M15" s="80"/>
    </row>
    <row r="16" spans="1:13">
      <c r="A16" s="85" t="s">
        <v>116</v>
      </c>
      <c r="B16" s="88" t="s">
        <v>71</v>
      </c>
      <c r="C16" s="65"/>
      <c r="D16" s="79"/>
      <c r="E16" s="79"/>
      <c r="F16" s="79"/>
      <c r="G16" s="79"/>
      <c r="H16" s="75"/>
      <c r="I16" s="75" t="s">
        <v>116</v>
      </c>
      <c r="J16" s="127" t="s">
        <v>217</v>
      </c>
      <c r="K16" s="128" t="s">
        <v>251</v>
      </c>
      <c r="L16" s="94"/>
      <c r="M16" s="128" t="s">
        <v>252</v>
      </c>
    </row>
    <row r="17" spans="1:13" ht="27" customHeight="1">
      <c r="A17" s="36">
        <v>1</v>
      </c>
      <c r="B17" s="38" t="s">
        <v>136</v>
      </c>
      <c r="C17" s="95" t="s">
        <v>122</v>
      </c>
      <c r="D17" s="95" t="s">
        <v>121</v>
      </c>
      <c r="E17" s="33">
        <f>0.2*4/100</f>
        <v>8.0000000000000002E-3</v>
      </c>
      <c r="F17" s="52">
        <f>IF(C17="0 - not considered at all",0*$E17,IF(C17="1 -  planned, not implemented",1*$E17/3,IF(C17="2 - partially implemented",2*$E17/3,$E17)))</f>
        <v>2.6666666666666666E-3</v>
      </c>
      <c r="G17" s="53">
        <f>IF(D17="0 - not considered at all",0*$E17,IF(D17="1 -  planned, not implemented",$E17/3,IF(D17="2 - partially implemented",2*$E17/3,$E17)))</f>
        <v>0</v>
      </c>
      <c r="J17" s="127"/>
      <c r="K17" s="128"/>
      <c r="L17" s="94"/>
      <c r="M17" s="128"/>
    </row>
    <row r="18" spans="1:13" ht="39" customHeight="1">
      <c r="A18" s="36">
        <v>2</v>
      </c>
      <c r="B18" s="38" t="s">
        <v>137</v>
      </c>
      <c r="C18" s="95" t="s">
        <v>122</v>
      </c>
      <c r="D18" s="95" t="s">
        <v>122</v>
      </c>
      <c r="E18" s="33">
        <f>0.2*4/100</f>
        <v>8.0000000000000002E-3</v>
      </c>
      <c r="F18" s="52">
        <f>IF(C18="0 - not considered at all",0*$E18,IF(C18="1 -  planned, not implemented",1*$E18/3,IF(C18="2 - partially implemented",2*$E18/3,$E18)))</f>
        <v>2.6666666666666666E-3</v>
      </c>
      <c r="G18" s="53">
        <f>IF(D18="0 - not considered at all",0*$E18,IF(D18="1 -  planned, not implemented",$E18/3,IF(D18="2 - partially implemented",2*$E18/3,$E18)))</f>
        <v>2.6666666666666666E-3</v>
      </c>
      <c r="J18" s="127"/>
      <c r="K18" s="128"/>
      <c r="L18" s="94"/>
      <c r="M18" s="128"/>
    </row>
    <row r="19" spans="1:13" ht="27.6">
      <c r="A19" s="36">
        <v>3</v>
      </c>
      <c r="B19" s="38" t="s">
        <v>138</v>
      </c>
      <c r="C19" s="95" t="s">
        <v>124</v>
      </c>
      <c r="D19" s="95" t="s">
        <v>124</v>
      </c>
      <c r="E19" s="33">
        <f>0.2*4/100</f>
        <v>8.0000000000000002E-3</v>
      </c>
      <c r="F19" s="52">
        <f>IF(C19="0 - not considered at all",0*$E19,IF(C19="1 -  planned, not implemented",1*$E19/3,IF(C19="2 - partially implemented",2*$E19/3,$E19)))</f>
        <v>8.0000000000000002E-3</v>
      </c>
      <c r="G19" s="53">
        <f>IF(D19="0 - not considered at all",0*$E19,IF(D19="1 -  planned, not implemented",$E19/3,IF(D19="2 - partially implemented",2*$E19/3,$E19)))</f>
        <v>8.0000000000000002E-3</v>
      </c>
      <c r="J19" s="127"/>
      <c r="K19" s="128"/>
      <c r="L19" s="94"/>
      <c r="M19" s="128"/>
    </row>
    <row r="20" spans="1:13" ht="29.25" customHeight="1">
      <c r="A20" s="36">
        <v>4</v>
      </c>
      <c r="B20" s="38" t="s">
        <v>142</v>
      </c>
      <c r="C20" s="95" t="s">
        <v>123</v>
      </c>
      <c r="D20" s="95" t="s">
        <v>123</v>
      </c>
      <c r="E20" s="33">
        <f>0.2*4/100</f>
        <v>8.0000000000000002E-3</v>
      </c>
      <c r="F20" s="52">
        <f>IF(C20="0 - not considered at all",0*$E20,IF(C20="1 -  planned, not implemented",1*$E20/3,IF(C20="2 - partially implemented",2*$E20/3,$E20)))</f>
        <v>5.3333333333333332E-3</v>
      </c>
      <c r="G20" s="53">
        <f>IF(D20="0 - not considered at all",0*$E20,IF(D20="1 -  planned, not implemented",$E20/3,IF(D20="2 - partially implemented",2*$E20/3,$E20)))</f>
        <v>5.3333333333333332E-3</v>
      </c>
      <c r="J20" s="127"/>
      <c r="K20" s="128"/>
      <c r="L20" s="94"/>
      <c r="M20" s="128"/>
    </row>
    <row r="21" spans="1:13" ht="41.4">
      <c r="A21" s="36">
        <v>5</v>
      </c>
      <c r="B21" s="39" t="s">
        <v>143</v>
      </c>
      <c r="C21" s="95" t="s">
        <v>122</v>
      </c>
      <c r="D21" s="95" t="s">
        <v>122</v>
      </c>
      <c r="E21" s="33">
        <f>0.2*4/100</f>
        <v>8.0000000000000002E-3</v>
      </c>
      <c r="F21" s="52">
        <f>IF(C21="0 - not considered at all",0*$E21,IF(C21="1 -  planned, not implemented",1*$E21/3,IF(C21="2 - partially implemented",2*$E21/3,$E21)))</f>
        <v>2.6666666666666666E-3</v>
      </c>
      <c r="G21" s="53">
        <f>IF(D21="0 - not considered at all",0*$E21,IF(D21="1 -  planned, not implemented",$E21/3,IF(D21="2 - partially implemented",2*$E21/3,$E21)))</f>
        <v>2.6666666666666666E-3</v>
      </c>
      <c r="J21" s="127"/>
      <c r="K21" s="128"/>
      <c r="L21" s="94"/>
      <c r="M21" s="128"/>
    </row>
    <row r="22" spans="1:13">
      <c r="A22" s="36" t="s">
        <v>8</v>
      </c>
      <c r="B22" s="14"/>
      <c r="C22" s="122" t="s">
        <v>161</v>
      </c>
      <c r="D22" s="124"/>
      <c r="E22" s="35"/>
      <c r="F22" s="77">
        <f>SUM(F17:F21)</f>
        <v>2.1333333333333333E-2</v>
      </c>
      <c r="G22" s="77">
        <f>SUM(G17:G21)</f>
        <v>1.8666666666666668E-2</v>
      </c>
      <c r="H22" s="15" t="s">
        <v>198</v>
      </c>
      <c r="I22" s="15"/>
      <c r="J22" s="80"/>
      <c r="K22" s="80"/>
      <c r="L22" s="80"/>
      <c r="M22" s="80"/>
    </row>
    <row r="23" spans="1:13">
      <c r="A23" s="85" t="s">
        <v>32</v>
      </c>
      <c r="B23" s="88" t="s">
        <v>72</v>
      </c>
      <c r="C23" s="65"/>
      <c r="D23" s="79"/>
      <c r="E23" s="79"/>
      <c r="F23" s="79"/>
      <c r="G23" s="79"/>
      <c r="H23" s="75"/>
      <c r="I23" s="75" t="s">
        <v>32</v>
      </c>
      <c r="J23" s="127" t="s">
        <v>218</v>
      </c>
      <c r="K23" s="127" t="s">
        <v>253</v>
      </c>
      <c r="L23" s="99"/>
      <c r="M23" s="127" t="s">
        <v>253</v>
      </c>
    </row>
    <row r="24" spans="1:13" ht="66.75" customHeight="1">
      <c r="A24" s="36">
        <v>1</v>
      </c>
      <c r="B24" s="38" t="s">
        <v>144</v>
      </c>
      <c r="C24" s="95" t="s">
        <v>124</v>
      </c>
      <c r="D24" s="95" t="s">
        <v>124</v>
      </c>
      <c r="E24" s="33">
        <f>0.5*0.04</f>
        <v>0.02</v>
      </c>
      <c r="F24" s="52">
        <f>IF(C24="0 - not considered at all",0*$E24,IF(C24="1 -  planned, not implemented",1*$E24/3,IF(C24="2 - partially implemented",2*$E24/3,$E24)))</f>
        <v>0.02</v>
      </c>
      <c r="G24" s="53">
        <f>IF(D24="0 - not considered at all",0*$E24,IF(D24="1 -  planned, not implemented",$E24/3,IF(D24="2 - partially implemented",2*$E24/3,$E24)))</f>
        <v>0.02</v>
      </c>
      <c r="J24" s="127"/>
      <c r="K24" s="127"/>
      <c r="L24" s="99"/>
      <c r="M24" s="127"/>
    </row>
    <row r="25" spans="1:13" ht="47.25" customHeight="1">
      <c r="A25" s="36">
        <v>2</v>
      </c>
      <c r="B25" s="38" t="s">
        <v>145</v>
      </c>
      <c r="C25" s="95" t="s">
        <v>124</v>
      </c>
      <c r="D25" s="95" t="s">
        <v>124</v>
      </c>
      <c r="E25" s="33">
        <f>0.5*0.04</f>
        <v>0.02</v>
      </c>
      <c r="F25" s="52">
        <f>IF(C25="0 - not considered at all",0*$E25,IF(C25="1 -  planned, not implemented",1*$E25/3,IF(C25="2 - partially implemented",2*$E25/3,$E25)))</f>
        <v>0.02</v>
      </c>
      <c r="G25" s="53">
        <f>IF(D25="0 - not considered at all",0*$E25,IF(D25="1 -  planned, not implemented",$E25/3,IF(D25="2 - partially implemented",2*$E25/3,$E25)))</f>
        <v>0.02</v>
      </c>
      <c r="J25" s="127"/>
      <c r="K25" s="127"/>
      <c r="L25" s="99"/>
      <c r="M25" s="127"/>
    </row>
    <row r="26" spans="1:13">
      <c r="A26" s="36" t="s">
        <v>8</v>
      </c>
      <c r="B26" s="14"/>
      <c r="C26" s="122" t="s">
        <v>179</v>
      </c>
      <c r="D26" s="124"/>
      <c r="E26" s="35"/>
      <c r="F26" s="77">
        <f>SUM(F24:F25)</f>
        <v>0.04</v>
      </c>
      <c r="G26" s="77">
        <f>SUM(G24:G25)</f>
        <v>0.04</v>
      </c>
      <c r="H26" s="15" t="s">
        <v>198</v>
      </c>
      <c r="I26" s="15"/>
      <c r="J26" s="100"/>
      <c r="K26" s="100"/>
      <c r="L26" s="100"/>
      <c r="M26" s="100"/>
    </row>
    <row r="27" spans="1:13" ht="33.75" customHeight="1">
      <c r="A27" s="85" t="s">
        <v>33</v>
      </c>
      <c r="B27" s="87" t="s">
        <v>74</v>
      </c>
      <c r="C27" s="65"/>
      <c r="D27" s="79"/>
      <c r="E27" s="79"/>
      <c r="F27" s="79"/>
      <c r="G27" s="79"/>
      <c r="H27" s="75"/>
      <c r="I27" s="75" t="s">
        <v>33</v>
      </c>
      <c r="J27" s="127" t="s">
        <v>219</v>
      </c>
      <c r="K27" s="127" t="s">
        <v>253</v>
      </c>
      <c r="L27" s="100"/>
      <c r="M27" s="127" t="s">
        <v>253</v>
      </c>
    </row>
    <row r="28" spans="1:13" ht="34.5" customHeight="1">
      <c r="A28" s="36">
        <v>1</v>
      </c>
      <c r="B28" s="38" t="s">
        <v>146</v>
      </c>
      <c r="C28" s="95" t="s">
        <v>124</v>
      </c>
      <c r="D28" s="95" t="s">
        <v>124</v>
      </c>
      <c r="E28" s="33">
        <f>0.3*0.02</f>
        <v>6.0000000000000001E-3</v>
      </c>
      <c r="F28" s="52">
        <f>IF(C28="0 - not considered at all",0*$E28,IF(C28="1 -  planned, not implemented",1*$E28/3,IF(C28="2 - partially implemented",2*$E28/3,$E28)))</f>
        <v>6.0000000000000001E-3</v>
      </c>
      <c r="G28" s="53">
        <f>IF(D28="0 - not considered at all",0*$E28,IF(D28="1 -  planned, not implemented",$E28/3,IF(D28="2 - partially implemented",2*$E28/3,$E28)))</f>
        <v>6.0000000000000001E-3</v>
      </c>
      <c r="J28" s="127"/>
      <c r="K28" s="127"/>
      <c r="L28" s="100"/>
      <c r="M28" s="127"/>
    </row>
    <row r="29" spans="1:13" ht="41.4">
      <c r="A29" s="36">
        <v>2</v>
      </c>
      <c r="B29" s="38" t="s">
        <v>147</v>
      </c>
      <c r="C29" s="95" t="s">
        <v>124</v>
      </c>
      <c r="D29" s="95" t="s">
        <v>124</v>
      </c>
      <c r="E29" s="33">
        <f>0.3*0.02</f>
        <v>6.0000000000000001E-3</v>
      </c>
      <c r="F29" s="52">
        <f>IF(C29="0 - not considered at all",0*$E29,IF(C29="1 -  planned, not implemented",1*$E29/3,IF(C29="2 - partially implemented",2*$E29/3,$E29)))</f>
        <v>6.0000000000000001E-3</v>
      </c>
      <c r="G29" s="53">
        <f>IF(D29="0 - not considered at all",0*$E29,IF(D29="1 -  planned, not implemented",$E29/3,IF(D29="2 - partially implemented",2*$E29/3,$E29)))</f>
        <v>6.0000000000000001E-3</v>
      </c>
      <c r="J29" s="127"/>
      <c r="K29" s="127"/>
      <c r="L29" s="100"/>
      <c r="M29" s="127"/>
    </row>
    <row r="30" spans="1:13" ht="38.25" customHeight="1">
      <c r="A30" s="36">
        <v>3</v>
      </c>
      <c r="B30" s="38" t="s">
        <v>148</v>
      </c>
      <c r="C30" s="95" t="s">
        <v>124</v>
      </c>
      <c r="D30" s="95" t="s">
        <v>124</v>
      </c>
      <c r="E30" s="33">
        <f>0.4*0.02</f>
        <v>8.0000000000000002E-3</v>
      </c>
      <c r="F30" s="52">
        <f>IF(C30="0 - not considered at all",0*$E30,IF(C30="1 -  planned, not implemented",1*$E30/3,IF(C30="2 - partially implemented",2*$E30/3,$E30)))</f>
        <v>8.0000000000000002E-3</v>
      </c>
      <c r="G30" s="53">
        <f>IF(D30="0 - not considered at all",0*$E30,IF(D30="1 -  planned, not implemented",$E30/3,IF(D30="2 - partially implemented",2*$E30/3,$E30)))</f>
        <v>8.0000000000000002E-3</v>
      </c>
      <c r="J30" s="127"/>
      <c r="K30" s="127"/>
      <c r="L30" s="100"/>
      <c r="M30" s="127"/>
    </row>
    <row r="31" spans="1:13">
      <c r="A31" s="36" t="s">
        <v>8</v>
      </c>
      <c r="B31" s="14"/>
      <c r="C31" s="122" t="s">
        <v>180</v>
      </c>
      <c r="D31" s="124"/>
      <c r="E31" s="35"/>
      <c r="F31" s="77">
        <f>SUM(F28:F30)</f>
        <v>0.02</v>
      </c>
      <c r="G31" s="77">
        <f>SUM(G28:G30)</f>
        <v>0.02</v>
      </c>
      <c r="H31" s="15" t="s">
        <v>199</v>
      </c>
      <c r="I31" s="15"/>
      <c r="J31" s="100"/>
      <c r="K31" s="100"/>
      <c r="L31" s="100"/>
      <c r="M31" s="100"/>
    </row>
    <row r="32" spans="1:13" ht="16.5" customHeight="1">
      <c r="A32" s="85" t="s">
        <v>73</v>
      </c>
      <c r="B32" s="87" t="s">
        <v>94</v>
      </c>
      <c r="C32" s="65"/>
      <c r="D32" s="79"/>
      <c r="E32" s="79"/>
      <c r="F32" s="79"/>
      <c r="G32" s="48"/>
      <c r="H32" s="75"/>
      <c r="I32" s="75" t="s">
        <v>73</v>
      </c>
      <c r="J32" s="127" t="s">
        <v>220</v>
      </c>
      <c r="K32" s="127" t="s">
        <v>253</v>
      </c>
      <c r="L32" s="99"/>
      <c r="M32" s="127" t="s">
        <v>253</v>
      </c>
    </row>
    <row r="33" spans="1:13" ht="28.5" customHeight="1">
      <c r="A33" s="36">
        <v>1</v>
      </c>
      <c r="B33" s="38" t="s">
        <v>149</v>
      </c>
      <c r="C33" s="95" t="s">
        <v>124</v>
      </c>
      <c r="D33" s="95" t="s">
        <v>124</v>
      </c>
      <c r="E33" s="33">
        <f>0.5*0.02</f>
        <v>0.01</v>
      </c>
      <c r="F33" s="52">
        <f>IF(C33="0 - not considered at all",0*$E33,IF(C33="1 -  planned, not implemented",1*$E33/3,IF(C33="2 - partially implemented",2*$E33/3,$E33)))</f>
        <v>0.01</v>
      </c>
      <c r="G33" s="53">
        <f>IF(D33="0 - not considered at all",0*$E33,IF(D33="1 -  planned, not implemented",$E33/3,IF(D33="2 - partially implemented",2*$E33/3,$E33)))</f>
        <v>0.01</v>
      </c>
      <c r="J33" s="127"/>
      <c r="K33" s="127"/>
      <c r="L33" s="99"/>
      <c r="M33" s="127"/>
    </row>
    <row r="34" spans="1:13" ht="27.6">
      <c r="A34" s="36">
        <v>2</v>
      </c>
      <c r="B34" s="38" t="s">
        <v>150</v>
      </c>
      <c r="C34" s="95" t="s">
        <v>124</v>
      </c>
      <c r="D34" s="95" t="s">
        <v>124</v>
      </c>
      <c r="E34" s="33">
        <f>0.5*0.02</f>
        <v>0.01</v>
      </c>
      <c r="F34" s="52">
        <f>IF(C34="0 - not considered at all",0*$E34,IF(C34="1 -  planned, not implemented",1*$E34/3,IF(C34="2 - partially implemented",2*$E34/3,$E34)))</f>
        <v>0.01</v>
      </c>
      <c r="G34" s="53">
        <f>IF(D34="0 - not considered at all",0*$E34,IF(D34="1 -  planned, not implemented",$E34/3,IF(D34="2 - partially implemented",2*$E34/3,$E34)))</f>
        <v>0.01</v>
      </c>
      <c r="J34" s="127"/>
      <c r="K34" s="127"/>
      <c r="L34" s="99"/>
      <c r="M34" s="127"/>
    </row>
    <row r="35" spans="1:13" ht="15" thickBot="1">
      <c r="A35" s="36" t="s">
        <v>8</v>
      </c>
      <c r="B35" s="14"/>
      <c r="C35" s="122" t="s">
        <v>181</v>
      </c>
      <c r="D35" s="124"/>
      <c r="E35" s="35"/>
      <c r="F35" s="77">
        <f>SUM(F33:F34)</f>
        <v>0.02</v>
      </c>
      <c r="G35" s="77">
        <f>SUM(G32:G34)</f>
        <v>0.02</v>
      </c>
      <c r="H35" s="15" t="s">
        <v>199</v>
      </c>
      <c r="I35" s="15"/>
    </row>
    <row r="36" spans="1:13" ht="15" thickBot="1">
      <c r="C36" s="125" t="s">
        <v>140</v>
      </c>
      <c r="D36" s="125"/>
      <c r="F36" s="45">
        <f>SUM(F9,F15,F22,F26,F31,F35)</f>
        <v>0.17333333333333331</v>
      </c>
      <c r="G36" s="45">
        <f>SUM(G9,G15,G22,G26,G31,G35)</f>
        <v>0.16133333333333333</v>
      </c>
    </row>
    <row r="37" spans="1:13">
      <c r="C37" s="126" t="s">
        <v>183</v>
      </c>
      <c r="D37" s="126"/>
      <c r="E37" s="16"/>
      <c r="F37" s="48">
        <v>20</v>
      </c>
      <c r="G37" s="43">
        <v>20</v>
      </c>
    </row>
    <row r="39" spans="1:13" customFormat="1" ht="32.25" customHeight="1">
      <c r="A39" s="102" t="s">
        <v>153</v>
      </c>
      <c r="B39" s="102"/>
      <c r="C39" s="103" t="s">
        <v>154</v>
      </c>
      <c r="D39" s="103"/>
      <c r="E39" s="103"/>
      <c r="F39" s="103"/>
      <c r="G39" s="103"/>
      <c r="H39" s="103"/>
      <c r="I39" s="103"/>
      <c r="J39" s="47"/>
      <c r="K39" s="47"/>
      <c r="M39" s="47"/>
    </row>
  </sheetData>
  <sheetProtection password="C7FA" sheet="1" objects="1" scenarios="1" formatRows="0"/>
  <mergeCells count="28">
    <mergeCell ref="C31:D31"/>
    <mergeCell ref="A39:B39"/>
    <mergeCell ref="C39:I39"/>
    <mergeCell ref="C35:D35"/>
    <mergeCell ref="C36:D36"/>
    <mergeCell ref="C37:D37"/>
    <mergeCell ref="M3:M8"/>
    <mergeCell ref="M10:M14"/>
    <mergeCell ref="M16:M21"/>
    <mergeCell ref="J3:J8"/>
    <mergeCell ref="K3:K8"/>
    <mergeCell ref="J10:J14"/>
    <mergeCell ref="K10:K14"/>
    <mergeCell ref="M32:M34"/>
    <mergeCell ref="J16:J21"/>
    <mergeCell ref="K16:K21"/>
    <mergeCell ref="M27:M30"/>
    <mergeCell ref="J32:J34"/>
    <mergeCell ref="K32:K34"/>
    <mergeCell ref="K23:K25"/>
    <mergeCell ref="K27:K30"/>
    <mergeCell ref="J23:J25"/>
    <mergeCell ref="J27:J30"/>
    <mergeCell ref="C9:D9"/>
    <mergeCell ref="C15:D15"/>
    <mergeCell ref="C22:D22"/>
    <mergeCell ref="C26:D26"/>
    <mergeCell ref="M23:M25"/>
  </mergeCells>
  <phoneticPr fontId="7" type="noConversion"/>
  <dataValidations count="1">
    <dataValidation type="list" allowBlank="1" showInputMessage="1" showErrorMessage="1" sqref="C28:D30 C4:D8 C33:D34 C17:D21 C24:D25 C11:D1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5" max="16383" man="1"/>
  </rowBreaks>
  <colBreaks count="1" manualBreakCount="1">
    <brk id="8"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dimension ref="A1:M27"/>
  <sheetViews>
    <sheetView zoomScaleNormal="100" workbookViewId="0">
      <selection activeCell="M1" sqref="M1:M1048576"/>
    </sheetView>
  </sheetViews>
  <sheetFormatPr defaultColWidth="34.5546875" defaultRowHeight="14.4"/>
  <cols>
    <col min="1" max="1" width="4.44140625" style="11" customWidth="1"/>
    <col min="2" max="2" width="36.5546875" style="10" customWidth="1"/>
    <col min="3" max="3" width="17.6640625" style="11" customWidth="1"/>
    <col min="4" max="4" width="18.109375" style="12" hidden="1" customWidth="1"/>
    <col min="5" max="5" width="0.33203125" style="12" hidden="1" customWidth="1"/>
    <col min="6" max="6" width="8.33203125" style="12" customWidth="1"/>
    <col min="7" max="7" width="8.5546875" style="12" hidden="1" customWidth="1"/>
    <col min="8" max="8" width="8" style="11" customWidth="1"/>
    <col min="9" max="9" width="4" style="11" customWidth="1"/>
    <col min="10" max="10" width="33.5546875" style="11" customWidth="1"/>
    <col min="11" max="11" width="25.44140625" style="11" customWidth="1"/>
    <col min="12" max="12" width="0.109375" style="11" hidden="1" customWidth="1"/>
    <col min="13" max="13" width="29.6640625" style="11" hidden="1" customWidth="1"/>
    <col min="14" max="14" width="3" style="11" bestFit="1" customWidth="1"/>
    <col min="15" max="16384" width="34.5546875" style="11"/>
  </cols>
  <sheetData>
    <row r="1" spans="1:13" s="19" customFormat="1">
      <c r="A1" s="31" t="s">
        <v>125</v>
      </c>
      <c r="B1" s="18"/>
      <c r="D1" s="20"/>
      <c r="E1" s="20"/>
      <c r="F1" s="20"/>
      <c r="G1" s="20"/>
    </row>
    <row r="2" spans="1:13" ht="77.25" customHeight="1">
      <c r="A2" s="59" t="s">
        <v>75</v>
      </c>
      <c r="B2" s="60" t="s">
        <v>162</v>
      </c>
      <c r="C2" s="61" t="s">
        <v>118</v>
      </c>
      <c r="D2" s="62" t="s">
        <v>156</v>
      </c>
      <c r="E2" s="73" t="s">
        <v>9</v>
      </c>
      <c r="F2" s="73" t="s">
        <v>12</v>
      </c>
      <c r="G2" s="64" t="s">
        <v>157</v>
      </c>
      <c r="H2" s="65"/>
      <c r="I2" s="65"/>
      <c r="J2" s="66" t="s">
        <v>119</v>
      </c>
      <c r="K2" s="67" t="s">
        <v>192</v>
      </c>
      <c r="L2" s="65"/>
      <c r="M2" s="74" t="s">
        <v>178</v>
      </c>
    </row>
    <row r="3" spans="1:13" ht="20.25" customHeight="1">
      <c r="A3" s="58" t="s">
        <v>34</v>
      </c>
      <c r="B3" s="78" t="s">
        <v>79</v>
      </c>
      <c r="C3" s="65"/>
      <c r="D3" s="79"/>
      <c r="E3" s="79"/>
      <c r="F3" s="79"/>
      <c r="G3" s="48"/>
      <c r="I3" s="11" t="s">
        <v>34</v>
      </c>
      <c r="J3" s="129" t="s">
        <v>222</v>
      </c>
      <c r="K3" s="129" t="s">
        <v>221</v>
      </c>
      <c r="L3" s="100"/>
      <c r="M3" s="121" t="s">
        <v>254</v>
      </c>
    </row>
    <row r="4" spans="1:13" ht="39" customHeight="1">
      <c r="A4" s="36">
        <v>1</v>
      </c>
      <c r="B4" s="38" t="s">
        <v>80</v>
      </c>
      <c r="C4" s="95" t="s">
        <v>122</v>
      </c>
      <c r="D4" s="95" t="s">
        <v>122</v>
      </c>
      <c r="E4" s="33">
        <f>0.2*0.055</f>
        <v>1.1000000000000001E-2</v>
      </c>
      <c r="F4" s="52">
        <f t="shared" ref="F4:G8" si="0">IF(C4="0 - not considered at all",0*$E4,IF(C4="1 -  planned, not implemented",$E4/3,IF(C4="2 - partially implemented",2*$E4/3,$E4)))</f>
        <v>3.666666666666667E-3</v>
      </c>
      <c r="G4" s="53">
        <f t="shared" si="0"/>
        <v>3.666666666666667E-3</v>
      </c>
      <c r="J4" s="129"/>
      <c r="K4" s="129"/>
      <c r="L4" s="93" t="s">
        <v>121</v>
      </c>
      <c r="M4" s="127"/>
    </row>
    <row r="5" spans="1:13" ht="41.25" customHeight="1">
      <c r="A5" s="36">
        <v>2</v>
      </c>
      <c r="B5" s="38" t="s">
        <v>89</v>
      </c>
      <c r="C5" s="95" t="s">
        <v>122</v>
      </c>
      <c r="D5" s="95" t="s">
        <v>122</v>
      </c>
      <c r="E5" s="33">
        <f>0.2*0.055</f>
        <v>1.1000000000000001E-2</v>
      </c>
      <c r="F5" s="52">
        <f t="shared" si="0"/>
        <v>3.666666666666667E-3</v>
      </c>
      <c r="G5" s="53">
        <f t="shared" si="0"/>
        <v>3.666666666666667E-3</v>
      </c>
      <c r="J5" s="129"/>
      <c r="K5" s="129"/>
      <c r="L5" s="93" t="s">
        <v>122</v>
      </c>
      <c r="M5" s="127"/>
    </row>
    <row r="6" spans="1:13" ht="30" customHeight="1">
      <c r="A6" s="36">
        <v>3</v>
      </c>
      <c r="B6" s="38" t="s">
        <v>85</v>
      </c>
      <c r="C6" s="95" t="s">
        <v>122</v>
      </c>
      <c r="D6" s="95" t="s">
        <v>122</v>
      </c>
      <c r="E6" s="33">
        <f>0.2*0.055</f>
        <v>1.1000000000000001E-2</v>
      </c>
      <c r="F6" s="52">
        <f t="shared" si="0"/>
        <v>3.666666666666667E-3</v>
      </c>
      <c r="G6" s="53">
        <f t="shared" si="0"/>
        <v>3.666666666666667E-3</v>
      </c>
      <c r="J6" s="129"/>
      <c r="K6" s="129"/>
      <c r="L6" s="93" t="s">
        <v>123</v>
      </c>
      <c r="M6" s="127"/>
    </row>
    <row r="7" spans="1:13" ht="26.25" customHeight="1">
      <c r="A7" s="36">
        <v>4</v>
      </c>
      <c r="B7" s="38" t="s">
        <v>90</v>
      </c>
      <c r="C7" s="95" t="s">
        <v>121</v>
      </c>
      <c r="D7" s="95" t="s">
        <v>121</v>
      </c>
      <c r="E7" s="33">
        <f>0.2*0.055</f>
        <v>1.1000000000000001E-2</v>
      </c>
      <c r="F7" s="52">
        <f t="shared" si="0"/>
        <v>0</v>
      </c>
      <c r="G7" s="53">
        <f t="shared" si="0"/>
        <v>0</v>
      </c>
      <c r="J7" s="129"/>
      <c r="K7" s="129"/>
      <c r="L7" s="93" t="s">
        <v>124</v>
      </c>
      <c r="M7" s="127"/>
    </row>
    <row r="8" spans="1:13" ht="27.6">
      <c r="A8" s="36">
        <v>5</v>
      </c>
      <c r="B8" s="39" t="s">
        <v>91</v>
      </c>
      <c r="C8" s="95" t="s">
        <v>123</v>
      </c>
      <c r="D8" s="95" t="s">
        <v>123</v>
      </c>
      <c r="E8" s="33">
        <f>0.2*0.055</f>
        <v>1.1000000000000001E-2</v>
      </c>
      <c r="F8" s="52">
        <f t="shared" si="0"/>
        <v>7.3333333333333341E-3</v>
      </c>
      <c r="G8" s="53">
        <f t="shared" si="0"/>
        <v>7.3333333333333341E-3</v>
      </c>
      <c r="J8" s="130"/>
      <c r="K8" s="130"/>
      <c r="L8" s="100"/>
      <c r="M8" s="127"/>
    </row>
    <row r="9" spans="1:13" ht="17.25" customHeight="1">
      <c r="A9" s="36" t="s">
        <v>8</v>
      </c>
      <c r="B9" s="14"/>
      <c r="C9" s="122" t="s">
        <v>187</v>
      </c>
      <c r="D9" s="123"/>
      <c r="E9" s="124"/>
      <c r="F9" s="77">
        <f>SUM(F4:F8)</f>
        <v>1.8333333333333333E-2</v>
      </c>
      <c r="G9" s="77">
        <f>SUM(G4:G8)</f>
        <v>1.8333333333333333E-2</v>
      </c>
      <c r="H9" s="68" t="s">
        <v>200</v>
      </c>
      <c r="I9" s="70"/>
      <c r="J9" s="80"/>
      <c r="K9" s="80"/>
      <c r="L9" s="80"/>
      <c r="M9" s="80"/>
    </row>
    <row r="10" spans="1:13">
      <c r="A10" s="35" t="s">
        <v>35</v>
      </c>
      <c r="B10" s="84" t="s">
        <v>81</v>
      </c>
      <c r="C10" s="65"/>
      <c r="D10" s="79"/>
      <c r="E10" s="79"/>
      <c r="F10" s="79"/>
      <c r="G10" s="48"/>
      <c r="I10" s="11" t="s">
        <v>35</v>
      </c>
      <c r="J10" s="127" t="s">
        <v>223</v>
      </c>
      <c r="K10" s="127" t="s">
        <v>255</v>
      </c>
      <c r="L10" s="99"/>
      <c r="M10" s="127" t="s">
        <v>256</v>
      </c>
    </row>
    <row r="11" spans="1:13" ht="27.6">
      <c r="A11" s="36">
        <v>1</v>
      </c>
      <c r="B11" s="38" t="s">
        <v>92</v>
      </c>
      <c r="C11" s="95" t="s">
        <v>124</v>
      </c>
      <c r="D11" s="95" t="s">
        <v>123</v>
      </c>
      <c r="E11" s="13">
        <f>0.25*0.055</f>
        <v>1.375E-2</v>
      </c>
      <c r="F11" s="52">
        <f t="shared" ref="F11:G13" si="1">IF(C11="0 - not considered at all",0*$E11,IF(C11="1 -  planned, not implemented",$E11/3,IF(C11="2 - partially implemented",2*$E11/3,$E11)))</f>
        <v>1.375E-2</v>
      </c>
      <c r="G11" s="53">
        <f t="shared" si="1"/>
        <v>9.1666666666666667E-3</v>
      </c>
      <c r="J11" s="127"/>
      <c r="K11" s="127"/>
      <c r="L11" s="99"/>
      <c r="M11" s="127"/>
    </row>
    <row r="12" spans="1:13" ht="27.6">
      <c r="A12" s="36">
        <v>2</v>
      </c>
      <c r="B12" s="38" t="s">
        <v>95</v>
      </c>
      <c r="C12" s="95" t="s">
        <v>124</v>
      </c>
      <c r="D12" s="95" t="s">
        <v>124</v>
      </c>
      <c r="E12" s="13">
        <f>0.25*0.055</f>
        <v>1.375E-2</v>
      </c>
      <c r="F12" s="52">
        <f t="shared" si="1"/>
        <v>1.375E-2</v>
      </c>
      <c r="G12" s="53">
        <f t="shared" si="1"/>
        <v>1.375E-2</v>
      </c>
      <c r="J12" s="127"/>
      <c r="K12" s="127"/>
      <c r="L12" s="99"/>
      <c r="M12" s="127"/>
    </row>
    <row r="13" spans="1:13" ht="27.6">
      <c r="A13" s="36">
        <v>3</v>
      </c>
      <c r="B13" s="38" t="s">
        <v>115</v>
      </c>
      <c r="C13" s="95" t="s">
        <v>124</v>
      </c>
      <c r="D13" s="95" t="s">
        <v>123</v>
      </c>
      <c r="E13" s="13">
        <f>0.5*0.055</f>
        <v>2.75E-2</v>
      </c>
      <c r="F13" s="52">
        <f t="shared" si="1"/>
        <v>2.75E-2</v>
      </c>
      <c r="G13" s="53">
        <f t="shared" si="1"/>
        <v>1.8333333333333333E-2</v>
      </c>
      <c r="J13" s="127"/>
      <c r="K13" s="127"/>
      <c r="L13" s="99"/>
      <c r="M13" s="127"/>
    </row>
    <row r="14" spans="1:13">
      <c r="A14" s="36" t="s">
        <v>8</v>
      </c>
      <c r="B14" s="14"/>
      <c r="C14" s="122" t="s">
        <v>188</v>
      </c>
      <c r="D14" s="123"/>
      <c r="E14" s="124"/>
      <c r="F14" s="77">
        <f>SUM(F11:F13)</f>
        <v>5.5E-2</v>
      </c>
      <c r="G14" s="77">
        <f>SUM(G11:G13)</f>
        <v>4.1250000000000002E-2</v>
      </c>
      <c r="H14" s="68" t="s">
        <v>200</v>
      </c>
      <c r="I14" s="70"/>
      <c r="J14" s="80"/>
      <c r="K14" s="80"/>
      <c r="L14" s="80"/>
      <c r="M14" s="80"/>
    </row>
    <row r="15" spans="1:13">
      <c r="A15" s="35" t="s">
        <v>117</v>
      </c>
      <c r="B15" s="90" t="s">
        <v>83</v>
      </c>
      <c r="C15" s="65"/>
      <c r="D15" s="79"/>
      <c r="E15" s="79"/>
      <c r="F15" s="79"/>
      <c r="G15" s="48"/>
      <c r="I15" s="11" t="s">
        <v>117</v>
      </c>
      <c r="J15" s="127" t="s">
        <v>224</v>
      </c>
      <c r="K15" s="127" t="s">
        <v>253</v>
      </c>
      <c r="L15" s="99"/>
      <c r="M15" s="127" t="s">
        <v>253</v>
      </c>
    </row>
    <row r="16" spans="1:13" ht="27.6">
      <c r="A16" s="36">
        <v>1</v>
      </c>
      <c r="B16" s="38" t="s">
        <v>93</v>
      </c>
      <c r="C16" s="96" t="s">
        <v>124</v>
      </c>
      <c r="D16" s="95" t="s">
        <v>124</v>
      </c>
      <c r="E16" s="13">
        <f>0.25*0.055</f>
        <v>1.375E-2</v>
      </c>
      <c r="F16" s="52">
        <f t="shared" ref="F16:G19" si="2">IF(C16="0 - not considered at all",0*$E16,IF(C16="1 -  planned, not implemented",$E16/3,IF(C16="2 - partially implemented",2*$E16/3,$E16)))</f>
        <v>1.375E-2</v>
      </c>
      <c r="G16" s="53">
        <f t="shared" si="2"/>
        <v>1.375E-2</v>
      </c>
      <c r="J16" s="127"/>
      <c r="K16" s="127"/>
      <c r="L16" s="99"/>
      <c r="M16" s="127"/>
    </row>
    <row r="17" spans="1:13" ht="27.6">
      <c r="A17" s="36">
        <v>2</v>
      </c>
      <c r="B17" s="38" t="s">
        <v>86</v>
      </c>
      <c r="C17" s="96" t="s">
        <v>124</v>
      </c>
      <c r="D17" s="95" t="s">
        <v>124</v>
      </c>
      <c r="E17" s="13">
        <f>0.25*0.055</f>
        <v>1.375E-2</v>
      </c>
      <c r="F17" s="52">
        <f t="shared" si="2"/>
        <v>1.375E-2</v>
      </c>
      <c r="G17" s="53">
        <f t="shared" si="2"/>
        <v>1.375E-2</v>
      </c>
      <c r="J17" s="127"/>
      <c r="K17" s="127"/>
      <c r="L17" s="99"/>
      <c r="M17" s="127"/>
    </row>
    <row r="18" spans="1:13">
      <c r="A18" s="36">
        <v>3</v>
      </c>
      <c r="B18" s="38" t="s">
        <v>87</v>
      </c>
      <c r="C18" s="96" t="s">
        <v>124</v>
      </c>
      <c r="D18" s="95" t="s">
        <v>124</v>
      </c>
      <c r="E18" s="13">
        <f>0.25*0.055</f>
        <v>1.375E-2</v>
      </c>
      <c r="F18" s="52">
        <f t="shared" si="2"/>
        <v>1.375E-2</v>
      </c>
      <c r="G18" s="53">
        <f t="shared" si="2"/>
        <v>1.375E-2</v>
      </c>
      <c r="J18" s="127"/>
      <c r="K18" s="127"/>
      <c r="L18" s="99"/>
      <c r="M18" s="127"/>
    </row>
    <row r="19" spans="1:13" ht="41.4">
      <c r="A19" s="36">
        <v>4</v>
      </c>
      <c r="B19" s="39" t="s">
        <v>114</v>
      </c>
      <c r="C19" s="96" t="s">
        <v>123</v>
      </c>
      <c r="D19" s="95" t="s">
        <v>123</v>
      </c>
      <c r="E19" s="13">
        <f>0.25*0.055</f>
        <v>1.375E-2</v>
      </c>
      <c r="F19" s="52">
        <f t="shared" si="2"/>
        <v>9.1666666666666667E-3</v>
      </c>
      <c r="G19" s="53">
        <f t="shared" si="2"/>
        <v>9.1666666666666667E-3</v>
      </c>
      <c r="J19" s="127"/>
      <c r="K19" s="127"/>
      <c r="L19" s="99"/>
      <c r="M19" s="127"/>
    </row>
    <row r="20" spans="1:13">
      <c r="A20" s="36" t="s">
        <v>8</v>
      </c>
      <c r="B20" s="14"/>
      <c r="C20" s="122" t="s">
        <v>189</v>
      </c>
      <c r="D20" s="123"/>
      <c r="E20" s="124"/>
      <c r="F20" s="77">
        <f>SUM(F16:F19)</f>
        <v>5.0416666666666665E-2</v>
      </c>
      <c r="G20" s="77">
        <f>SUM(G16:G19)</f>
        <v>5.0416666666666665E-2</v>
      </c>
      <c r="H20" s="68" t="s">
        <v>200</v>
      </c>
      <c r="I20" s="70"/>
      <c r="J20" s="80"/>
      <c r="K20" s="80"/>
      <c r="L20" s="80"/>
      <c r="M20" s="80"/>
    </row>
    <row r="21" spans="1:13">
      <c r="A21" s="35" t="s">
        <v>82</v>
      </c>
      <c r="B21" s="84" t="s">
        <v>84</v>
      </c>
      <c r="C21" s="65"/>
      <c r="D21" s="79"/>
      <c r="E21" s="79"/>
      <c r="F21" s="79"/>
      <c r="G21" s="48"/>
      <c r="I21" s="11" t="s">
        <v>82</v>
      </c>
      <c r="J21" s="127" t="s">
        <v>139</v>
      </c>
      <c r="K21" s="127"/>
      <c r="L21" s="99"/>
      <c r="M21" s="127" t="s">
        <v>257</v>
      </c>
    </row>
    <row r="22" spans="1:13" ht="27.6">
      <c r="A22" s="36">
        <v>1</v>
      </c>
      <c r="B22" s="38" t="s">
        <v>88</v>
      </c>
      <c r="C22" s="95" t="s">
        <v>123</v>
      </c>
      <c r="D22" s="95" t="s">
        <v>123</v>
      </c>
      <c r="E22" s="13">
        <v>3.5000000000000003E-2</v>
      </c>
      <c r="F22" s="52">
        <f>IF(C22="0 - not considered at all",0*$E22,IF(C22="1 -  planned, not implemented",$E22/3,IF(C22="2 - partially implemented",2*$E22/3,$E22)))</f>
        <v>2.3333333333333334E-2</v>
      </c>
      <c r="G22" s="53">
        <f>IF(D22="0 - not considered at all",0*$E22,IF(D22="1 -  planned, not implemented",$E22/3,IF(D22="2 - partially implemented",2*$E22/3,$E22)))</f>
        <v>2.3333333333333334E-2</v>
      </c>
      <c r="J22" s="127"/>
      <c r="K22" s="127"/>
      <c r="L22" s="99"/>
      <c r="M22" s="127"/>
    </row>
    <row r="23" spans="1:13" ht="15" thickBot="1">
      <c r="A23" s="36" t="s">
        <v>8</v>
      </c>
      <c r="B23" s="14"/>
      <c r="C23" s="122" t="s">
        <v>190</v>
      </c>
      <c r="D23" s="123"/>
      <c r="E23" s="124"/>
      <c r="F23" s="77">
        <f>SUM(F22:F22)</f>
        <v>2.3333333333333334E-2</v>
      </c>
      <c r="G23" s="77">
        <f>SUM(G22)</f>
        <v>2.3333333333333334E-2</v>
      </c>
      <c r="H23" s="68" t="s">
        <v>201</v>
      </c>
      <c r="I23" s="70"/>
    </row>
    <row r="24" spans="1:13" ht="15" thickBot="1">
      <c r="D24" s="41" t="s">
        <v>182</v>
      </c>
      <c r="F24" s="76">
        <f>SUM(F9,F14,F20,F23)</f>
        <v>0.14708333333333334</v>
      </c>
      <c r="G24" s="76">
        <f>SUM(G9,G14,G20,G23)</f>
        <v>0.13333333333333333</v>
      </c>
    </row>
    <row r="25" spans="1:13">
      <c r="D25" s="42" t="s">
        <v>183</v>
      </c>
      <c r="E25" s="16"/>
      <c r="F25" s="48">
        <v>20</v>
      </c>
      <c r="G25" s="89">
        <v>20</v>
      </c>
    </row>
    <row r="27" spans="1:13" customFormat="1" ht="32.25" customHeight="1">
      <c r="A27" s="102" t="s">
        <v>153</v>
      </c>
      <c r="B27" s="102"/>
      <c r="C27" s="103" t="s">
        <v>154</v>
      </c>
      <c r="D27" s="103"/>
      <c r="E27" s="103"/>
      <c r="F27" s="103"/>
      <c r="G27" s="103"/>
      <c r="H27" s="103"/>
      <c r="I27" s="103"/>
      <c r="J27" s="47"/>
      <c r="K27" s="47"/>
    </row>
  </sheetData>
  <sheetProtection password="C7FA" sheet="1" objects="1" scenarios="1" formatRows="0"/>
  <mergeCells count="18">
    <mergeCell ref="A27:B27"/>
    <mergeCell ref="C27:I27"/>
    <mergeCell ref="C23:E23"/>
    <mergeCell ref="C9:E9"/>
    <mergeCell ref="C14:E14"/>
    <mergeCell ref="C20:E20"/>
    <mergeCell ref="J3:J8"/>
    <mergeCell ref="K3:K8"/>
    <mergeCell ref="M3:M8"/>
    <mergeCell ref="J10:J13"/>
    <mergeCell ref="K10:K13"/>
    <mergeCell ref="M10:M13"/>
    <mergeCell ref="K15:K19"/>
    <mergeCell ref="M15:M19"/>
    <mergeCell ref="J21:J22"/>
    <mergeCell ref="K21:K22"/>
    <mergeCell ref="M21:M22"/>
    <mergeCell ref="J15:J19"/>
  </mergeCells>
  <phoneticPr fontId="7" type="noConversion"/>
  <dataValidations count="1">
    <dataValidation type="list" allowBlank="1" showInputMessage="1" showErrorMessage="1" sqref="C22:D22 C16:D19 C11:D13 C4:D8">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4" max="16383" man="1"/>
  </rowBreaks>
  <colBreaks count="1" manualBreakCount="1">
    <brk id="8"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A - Didactical solutions</vt:lpstr>
      <vt:lpstr>B - Information technologies</vt:lpstr>
      <vt:lpstr>C - Structure and design</vt:lpstr>
      <vt:lpstr>D - Learning organization</vt:lpstr>
      <vt:lpstr>'A - Didactical solutions'!Print_Area</vt:lpstr>
      <vt:lpstr>'B - Information technologies'!Print_Area</vt:lpstr>
      <vt:lpstr>'C - Structure and design'!Print_Area</vt:lpstr>
      <vt:lpstr>'D - Learning organization'!Print_Area</vt:lpstr>
      <vt:lpstr>'A - Didactical solutions'!Print_Titles</vt:lpstr>
      <vt:lpstr>'B - Information technologies'!Print_Titles</vt:lpstr>
      <vt:lpstr>'C - Structure and design'!Print_Titles</vt:lpstr>
      <vt:lpstr>'D - Learning organization'!Print_Titles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Airina</dc:creator>
  <cp:lastModifiedBy>Pieva</cp:lastModifiedBy>
  <cp:lastPrinted>2013-05-22T09:46:15Z</cp:lastPrinted>
  <dcterms:created xsi:type="dcterms:W3CDTF">2012-06-19T07:09:26Z</dcterms:created>
  <dcterms:modified xsi:type="dcterms:W3CDTF">2014-04-23T18:33:23Z</dcterms:modified>
</cp:coreProperties>
</file>